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gif" ContentType="image/gif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rakeJaglowski/Desktop/"/>
    </mc:Choice>
  </mc:AlternateContent>
  <bookViews>
    <workbookView xWindow="0" yWindow="460" windowWidth="28800" windowHeight="16140" tabRatio="702" activeTab="12"/>
  </bookViews>
  <sheets>
    <sheet name="Summary" sheetId="45" r:id="rId1"/>
    <sheet name="Sortable Performnce" sheetId="44" state="hidden" r:id="rId2"/>
    <sheet name="since 2003" sheetId="47" r:id="rId3"/>
    <sheet name="since 2010" sheetId="51" r:id="rId4"/>
    <sheet name="Holdings" sheetId="39" r:id="rId5"/>
    <sheet name="Sheet1" sheetId="50" state="hidden" r:id="rId6"/>
    <sheet name="holdings pull sheet" sheetId="49" state="hidden" r:id="rId7"/>
    <sheet name="V.P. of PM" sheetId="6" state="hidden" r:id="rId8"/>
    <sheet name="Data" sheetId="2" r:id="rId9"/>
    <sheet name="GICS Sector Weights" sheetId="24" state="hidden" r:id="rId10"/>
    <sheet name="MKT Cap" sheetId="22" state="hidden" r:id="rId11"/>
    <sheet name="Transactions" sheetId="9" r:id="rId12"/>
    <sheet name="2017 S1 Performance" sheetId="53" r:id="rId13"/>
    <sheet name="Holdings_Old" sheetId="1" state="hidden" r:id="rId14"/>
    <sheet name="Long-Term Chart_Old" sheetId="30" state="hidden" r:id="rId15"/>
    <sheet name="Recession Chart_Old" sheetId="26" state="hidden" r:id="rId16"/>
    <sheet name="Sector Weights" sheetId="27" state="hidden" r:id="rId17"/>
    <sheet name="GICS Sector Weights (2)" sheetId="48" state="hidden" r:id="rId18"/>
    <sheet name="GICS Sector Allocation" sheetId="28" state="hidden" r:id="rId19"/>
    <sheet name="2016 Performance" sheetId="52" state="hidden" r:id="rId20"/>
  </sheets>
  <definedNames>
    <definedName name="_xlnm._FilterDatabase" localSheetId="1" hidden="1">'Sortable Performnce'!$C$4:$N$22</definedName>
    <definedName name="a">#REF!</definedName>
    <definedName name="aaa">#REF!</definedName>
    <definedName name="asdf" localSheetId="1">#REF!</definedName>
    <definedName name="asdf" localSheetId="0">#REF!</definedName>
    <definedName name="asdf">#REF!</definedName>
    <definedName name="bnm" localSheetId="1">#REF!</definedName>
    <definedName name="bnm" localSheetId="0">#REF!</definedName>
    <definedName name="bnm">#REF!</definedName>
    <definedName name="Initial" localSheetId="1">#REF!</definedName>
    <definedName name="Initial" localSheetId="0">#REF!</definedName>
    <definedName name="Initial">#REF!</definedName>
    <definedName name="portbeg" localSheetId="1">#REF!</definedName>
    <definedName name="portbeg" localSheetId="0">#REF!</definedName>
    <definedName name="portbeg">#REF!</definedName>
    <definedName name="_xlnm.Print_Area" localSheetId="8">Data!$A$2:$AB$18</definedName>
    <definedName name="_xlnm.Print_Area" localSheetId="13">Holdings_Old!$A$1:$U$20</definedName>
    <definedName name="_xlnm.Print_Area" localSheetId="0">Summary!$A$1:$AJ$88</definedName>
    <definedName name="_xlnm.Print_Area" localSheetId="7">'V.P. of PM'!$A$1:$K$39</definedName>
    <definedName name="qwer" localSheetId="1">#REF!</definedName>
    <definedName name="qwer" localSheetId="0">#REF!</definedName>
    <definedName name="qwer">#REF!</definedName>
    <definedName name="s">#REF!</definedName>
    <definedName name="Sheet" localSheetId="1">#REF!</definedName>
    <definedName name="Sheet" localSheetId="0">#REF!</definedName>
    <definedName name="Sheet">#REF!</definedName>
    <definedName name="SP" localSheetId="1">#REF!</definedName>
    <definedName name="SP" localSheetId="0">#REF!</definedName>
    <definedName name="SP">#REF!</definedName>
    <definedName name="spbeg" localSheetId="1">#REF!</definedName>
    <definedName name="spbeg" localSheetId="0">#REF!</definedName>
    <definedName name="spbeg">#REF!</definedName>
    <definedName name="vb" localSheetId="1">#REF!</definedName>
    <definedName name="vb" localSheetId="0">#REF!</definedName>
    <definedName name="vb">#REF!</definedName>
    <definedName name="WINBEG" localSheetId="1">#REF!</definedName>
    <definedName name="WINBEG" localSheetId="0">#REF!</definedName>
    <definedName name="WINBEG">#REF!</definedName>
    <definedName name="WINSP" localSheetId="1">#REF!</definedName>
    <definedName name="WINSP" localSheetId="0">#REF!</definedName>
    <definedName name="WINSP">#REF!</definedName>
    <definedName name="zxc" localSheetId="1">#REF!</definedName>
    <definedName name="zxc" localSheetId="0">#REF!</definedName>
    <definedName name="zxc">#REF!</definedName>
  </definedNames>
  <calcPr calcId="150001" calcMode="autoNoTable" iterate="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53" l="1"/>
  <c r="F5" i="53"/>
  <c r="F6" i="53"/>
  <c r="F7" i="53"/>
  <c r="F8" i="53"/>
  <c r="F9" i="53"/>
  <c r="F10" i="53"/>
  <c r="F11" i="53"/>
  <c r="F12" i="53"/>
  <c r="F13" i="53"/>
  <c r="F14" i="53"/>
  <c r="F15" i="53"/>
  <c r="F16" i="53"/>
  <c r="F17" i="53"/>
  <c r="F18" i="53"/>
  <c r="F19" i="53"/>
  <c r="F20" i="53"/>
  <c r="F21" i="53"/>
  <c r="E4" i="53"/>
  <c r="E5" i="53"/>
  <c r="E6" i="53"/>
  <c r="E7" i="53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I18" i="39"/>
  <c r="AH35" i="45"/>
  <c r="H18" i="39"/>
  <c r="AH36" i="45"/>
  <c r="R18" i="39"/>
  <c r="AH33" i="45"/>
  <c r="Q18" i="39"/>
  <c r="AH32" i="45"/>
  <c r="AH31" i="45"/>
  <c r="AH28" i="45"/>
  <c r="AE30" i="45"/>
  <c r="AE28" i="45"/>
  <c r="H19" i="39"/>
  <c r="M22" i="45"/>
  <c r="I19" i="39"/>
  <c r="M21" i="45"/>
  <c r="P19" i="39"/>
  <c r="M19" i="45"/>
  <c r="Q19" i="39"/>
  <c r="M18" i="45"/>
  <c r="R19" i="39"/>
  <c r="M17" i="45"/>
  <c r="M14" i="45"/>
  <c r="J16" i="45"/>
  <c r="J14" i="45"/>
  <c r="I5" i="39"/>
  <c r="R5" i="39"/>
  <c r="F17" i="45"/>
  <c r="H5" i="39"/>
  <c r="F22" i="45"/>
  <c r="F21" i="45"/>
  <c r="P5" i="39"/>
  <c r="F19" i="45"/>
  <c r="Q5" i="39"/>
  <c r="F18" i="45"/>
  <c r="T708" i="2"/>
  <c r="U708" i="2"/>
  <c r="E707" i="2"/>
  <c r="G708" i="2"/>
  <c r="V708" i="2"/>
  <c r="W708" i="2"/>
  <c r="G478" i="2"/>
  <c r="T478" i="2"/>
  <c r="V478" i="2"/>
  <c r="W478" i="2"/>
  <c r="G479" i="2"/>
  <c r="T479" i="2"/>
  <c r="V479" i="2"/>
  <c r="W479" i="2"/>
  <c r="G480" i="2"/>
  <c r="T480" i="2"/>
  <c r="V480" i="2"/>
  <c r="W480" i="2"/>
  <c r="E481" i="2"/>
  <c r="G481" i="2"/>
  <c r="T481" i="2"/>
  <c r="V481" i="2"/>
  <c r="W481" i="2"/>
  <c r="G482" i="2"/>
  <c r="T482" i="2"/>
  <c r="V482" i="2"/>
  <c r="W482" i="2"/>
  <c r="G483" i="2"/>
  <c r="T483" i="2"/>
  <c r="V483" i="2"/>
  <c r="W483" i="2"/>
  <c r="G484" i="2"/>
  <c r="T484" i="2"/>
  <c r="V484" i="2"/>
  <c r="W484" i="2"/>
  <c r="G485" i="2"/>
  <c r="T485" i="2"/>
  <c r="V485" i="2"/>
  <c r="W485" i="2"/>
  <c r="G486" i="2"/>
  <c r="T486" i="2"/>
  <c r="V486" i="2"/>
  <c r="W486" i="2"/>
  <c r="G487" i="2"/>
  <c r="T487" i="2"/>
  <c r="V487" i="2"/>
  <c r="W487" i="2"/>
  <c r="G488" i="2"/>
  <c r="T488" i="2"/>
  <c r="V488" i="2"/>
  <c r="W488" i="2"/>
  <c r="G489" i="2"/>
  <c r="T489" i="2"/>
  <c r="V489" i="2"/>
  <c r="W489" i="2"/>
  <c r="G490" i="2"/>
  <c r="T490" i="2"/>
  <c r="V490" i="2"/>
  <c r="W490" i="2"/>
  <c r="G491" i="2"/>
  <c r="T491" i="2"/>
  <c r="V491" i="2"/>
  <c r="W491" i="2"/>
  <c r="G492" i="2"/>
  <c r="T492" i="2"/>
  <c r="V492" i="2"/>
  <c r="W492" i="2"/>
  <c r="G493" i="2"/>
  <c r="T493" i="2"/>
  <c r="V493" i="2"/>
  <c r="W493" i="2"/>
  <c r="G494" i="2"/>
  <c r="T494" i="2"/>
  <c r="V494" i="2"/>
  <c r="W494" i="2"/>
  <c r="G495" i="2"/>
  <c r="T495" i="2"/>
  <c r="V495" i="2"/>
  <c r="W495" i="2"/>
  <c r="G496" i="2"/>
  <c r="T496" i="2"/>
  <c r="V496" i="2"/>
  <c r="W496" i="2"/>
  <c r="G497" i="2"/>
  <c r="T497" i="2"/>
  <c r="V497" i="2"/>
  <c r="W497" i="2"/>
  <c r="G498" i="2"/>
  <c r="T498" i="2"/>
  <c r="V498" i="2"/>
  <c r="W498" i="2"/>
  <c r="G499" i="2"/>
  <c r="T499" i="2"/>
  <c r="V499" i="2"/>
  <c r="W499" i="2"/>
  <c r="G500" i="2"/>
  <c r="T500" i="2"/>
  <c r="V500" i="2"/>
  <c r="W500" i="2"/>
  <c r="G501" i="2"/>
  <c r="T501" i="2"/>
  <c r="V501" i="2"/>
  <c r="W501" i="2"/>
  <c r="G502" i="2"/>
  <c r="T502" i="2"/>
  <c r="V502" i="2"/>
  <c r="W502" i="2"/>
  <c r="G503" i="2"/>
  <c r="T503" i="2"/>
  <c r="V503" i="2"/>
  <c r="W503" i="2"/>
  <c r="G504" i="2"/>
  <c r="T504" i="2"/>
  <c r="V504" i="2"/>
  <c r="W504" i="2"/>
  <c r="G505" i="2"/>
  <c r="T505" i="2"/>
  <c r="V505" i="2"/>
  <c r="W505" i="2"/>
  <c r="G506" i="2"/>
  <c r="T506" i="2"/>
  <c r="V506" i="2"/>
  <c r="W506" i="2"/>
  <c r="G507" i="2"/>
  <c r="T507" i="2"/>
  <c r="V507" i="2"/>
  <c r="W507" i="2"/>
  <c r="G508" i="2"/>
  <c r="T508" i="2"/>
  <c r="V508" i="2"/>
  <c r="W508" i="2"/>
  <c r="G509" i="2"/>
  <c r="T509" i="2"/>
  <c r="V509" i="2"/>
  <c r="W509" i="2"/>
  <c r="G510" i="2"/>
  <c r="T510" i="2"/>
  <c r="V510" i="2"/>
  <c r="W510" i="2"/>
  <c r="G511" i="2"/>
  <c r="T511" i="2"/>
  <c r="V511" i="2"/>
  <c r="W511" i="2"/>
  <c r="G512" i="2"/>
  <c r="T512" i="2"/>
  <c r="V512" i="2"/>
  <c r="W512" i="2"/>
  <c r="G513" i="2"/>
  <c r="T513" i="2"/>
  <c r="V513" i="2"/>
  <c r="W513" i="2"/>
  <c r="G514" i="2"/>
  <c r="T514" i="2"/>
  <c r="V514" i="2"/>
  <c r="W514" i="2"/>
  <c r="G515" i="2"/>
  <c r="T515" i="2"/>
  <c r="V515" i="2"/>
  <c r="W515" i="2"/>
  <c r="G516" i="2"/>
  <c r="T516" i="2"/>
  <c r="V516" i="2"/>
  <c r="W516" i="2"/>
  <c r="G517" i="2"/>
  <c r="T517" i="2"/>
  <c r="V517" i="2"/>
  <c r="W517" i="2"/>
  <c r="G518" i="2"/>
  <c r="T518" i="2"/>
  <c r="V518" i="2"/>
  <c r="W518" i="2"/>
  <c r="G519" i="2"/>
  <c r="T519" i="2"/>
  <c r="V519" i="2"/>
  <c r="W519" i="2"/>
  <c r="G520" i="2"/>
  <c r="T520" i="2"/>
  <c r="V520" i="2"/>
  <c r="W520" i="2"/>
  <c r="G521" i="2"/>
  <c r="T521" i="2"/>
  <c r="V521" i="2"/>
  <c r="W521" i="2"/>
  <c r="E522" i="2"/>
  <c r="G522" i="2"/>
  <c r="T522" i="2"/>
  <c r="V522" i="2"/>
  <c r="W522" i="2"/>
  <c r="E523" i="2"/>
  <c r="G523" i="2"/>
  <c r="T523" i="2"/>
  <c r="V523" i="2"/>
  <c r="W523" i="2"/>
  <c r="E524" i="2"/>
  <c r="G524" i="2"/>
  <c r="T524" i="2"/>
  <c r="V524" i="2"/>
  <c r="W524" i="2"/>
  <c r="E525" i="2"/>
  <c r="G525" i="2"/>
  <c r="T525" i="2"/>
  <c r="V525" i="2"/>
  <c r="W525" i="2"/>
  <c r="E526" i="2"/>
  <c r="G526" i="2"/>
  <c r="T526" i="2"/>
  <c r="V526" i="2"/>
  <c r="W526" i="2"/>
  <c r="E527" i="2"/>
  <c r="G527" i="2"/>
  <c r="T527" i="2"/>
  <c r="V527" i="2"/>
  <c r="W527" i="2"/>
  <c r="E528" i="2"/>
  <c r="G528" i="2"/>
  <c r="T528" i="2"/>
  <c r="V528" i="2"/>
  <c r="W528" i="2"/>
  <c r="E529" i="2"/>
  <c r="G529" i="2"/>
  <c r="T529" i="2"/>
  <c r="V529" i="2"/>
  <c r="W529" i="2"/>
  <c r="E530" i="2"/>
  <c r="G530" i="2"/>
  <c r="T530" i="2"/>
  <c r="V530" i="2"/>
  <c r="W530" i="2"/>
  <c r="E531" i="2"/>
  <c r="G531" i="2"/>
  <c r="T531" i="2"/>
  <c r="V531" i="2"/>
  <c r="W531" i="2"/>
  <c r="E532" i="2"/>
  <c r="G532" i="2"/>
  <c r="T532" i="2"/>
  <c r="V532" i="2"/>
  <c r="W532" i="2"/>
  <c r="E533" i="2"/>
  <c r="G533" i="2"/>
  <c r="T533" i="2"/>
  <c r="V533" i="2"/>
  <c r="W533" i="2"/>
  <c r="E534" i="2"/>
  <c r="G534" i="2"/>
  <c r="T534" i="2"/>
  <c r="V534" i="2"/>
  <c r="W534" i="2"/>
  <c r="E535" i="2"/>
  <c r="G535" i="2"/>
  <c r="T535" i="2"/>
  <c r="V535" i="2"/>
  <c r="W535" i="2"/>
  <c r="E536" i="2"/>
  <c r="G536" i="2"/>
  <c r="T536" i="2"/>
  <c r="V536" i="2"/>
  <c r="W536" i="2"/>
  <c r="E537" i="2"/>
  <c r="G537" i="2"/>
  <c r="T537" i="2"/>
  <c r="V537" i="2"/>
  <c r="W537" i="2"/>
  <c r="E538" i="2"/>
  <c r="G538" i="2"/>
  <c r="T538" i="2"/>
  <c r="V538" i="2"/>
  <c r="W538" i="2"/>
  <c r="E539" i="2"/>
  <c r="G539" i="2"/>
  <c r="T539" i="2"/>
  <c r="V539" i="2"/>
  <c r="W539" i="2"/>
  <c r="E540" i="2"/>
  <c r="G540" i="2"/>
  <c r="T540" i="2"/>
  <c r="V540" i="2"/>
  <c r="W540" i="2"/>
  <c r="E541" i="2"/>
  <c r="G541" i="2"/>
  <c r="T541" i="2"/>
  <c r="V541" i="2"/>
  <c r="W541" i="2"/>
  <c r="E542" i="2"/>
  <c r="G542" i="2"/>
  <c r="T542" i="2"/>
  <c r="V542" i="2"/>
  <c r="W542" i="2"/>
  <c r="E543" i="2"/>
  <c r="G543" i="2"/>
  <c r="T543" i="2"/>
  <c r="V543" i="2"/>
  <c r="W543" i="2"/>
  <c r="E544" i="2"/>
  <c r="G544" i="2"/>
  <c r="T544" i="2"/>
  <c r="V544" i="2"/>
  <c r="W544" i="2"/>
  <c r="E545" i="2"/>
  <c r="G545" i="2"/>
  <c r="T545" i="2"/>
  <c r="V545" i="2"/>
  <c r="W545" i="2"/>
  <c r="E546" i="2"/>
  <c r="G546" i="2"/>
  <c r="T546" i="2"/>
  <c r="V546" i="2"/>
  <c r="W546" i="2"/>
  <c r="E547" i="2"/>
  <c r="G547" i="2"/>
  <c r="T547" i="2"/>
  <c r="V547" i="2"/>
  <c r="W547" i="2"/>
  <c r="E548" i="2"/>
  <c r="G548" i="2"/>
  <c r="T548" i="2"/>
  <c r="V548" i="2"/>
  <c r="W548" i="2"/>
  <c r="E549" i="2"/>
  <c r="G549" i="2"/>
  <c r="T549" i="2"/>
  <c r="V549" i="2"/>
  <c r="W549" i="2"/>
  <c r="E550" i="2"/>
  <c r="G550" i="2"/>
  <c r="T550" i="2"/>
  <c r="V550" i="2"/>
  <c r="W550" i="2"/>
  <c r="E551" i="2"/>
  <c r="G551" i="2"/>
  <c r="T551" i="2"/>
  <c r="V551" i="2"/>
  <c r="W551" i="2"/>
  <c r="E552" i="2"/>
  <c r="G552" i="2"/>
  <c r="T552" i="2"/>
  <c r="V552" i="2"/>
  <c r="W552" i="2"/>
  <c r="E553" i="2"/>
  <c r="G553" i="2"/>
  <c r="T553" i="2"/>
  <c r="V553" i="2"/>
  <c r="W553" i="2"/>
  <c r="E554" i="2"/>
  <c r="G554" i="2"/>
  <c r="T554" i="2"/>
  <c r="V554" i="2"/>
  <c r="W554" i="2"/>
  <c r="E555" i="2"/>
  <c r="G555" i="2"/>
  <c r="T555" i="2"/>
  <c r="V555" i="2"/>
  <c r="W555" i="2"/>
  <c r="E556" i="2"/>
  <c r="G556" i="2"/>
  <c r="T556" i="2"/>
  <c r="V556" i="2"/>
  <c r="W556" i="2"/>
  <c r="E557" i="2"/>
  <c r="G557" i="2"/>
  <c r="T557" i="2"/>
  <c r="V557" i="2"/>
  <c r="W557" i="2"/>
  <c r="E558" i="2"/>
  <c r="G558" i="2"/>
  <c r="T558" i="2"/>
  <c r="V558" i="2"/>
  <c r="W558" i="2"/>
  <c r="E559" i="2"/>
  <c r="G559" i="2"/>
  <c r="T559" i="2"/>
  <c r="V559" i="2"/>
  <c r="W559" i="2"/>
  <c r="E560" i="2"/>
  <c r="G560" i="2"/>
  <c r="T560" i="2"/>
  <c r="V560" i="2"/>
  <c r="W560" i="2"/>
  <c r="E561" i="2"/>
  <c r="G561" i="2"/>
  <c r="T561" i="2"/>
  <c r="V561" i="2"/>
  <c r="W561" i="2"/>
  <c r="E562" i="2"/>
  <c r="G562" i="2"/>
  <c r="T562" i="2"/>
  <c r="V562" i="2"/>
  <c r="W562" i="2"/>
  <c r="E563" i="2"/>
  <c r="G563" i="2"/>
  <c r="T563" i="2"/>
  <c r="V563" i="2"/>
  <c r="W563" i="2"/>
  <c r="E564" i="2"/>
  <c r="G564" i="2"/>
  <c r="T564" i="2"/>
  <c r="V564" i="2"/>
  <c r="W564" i="2"/>
  <c r="E565" i="2"/>
  <c r="G565" i="2"/>
  <c r="T565" i="2"/>
  <c r="V565" i="2"/>
  <c r="W565" i="2"/>
  <c r="AA566" i="2"/>
  <c r="D566" i="2"/>
  <c r="E566" i="2"/>
  <c r="G566" i="2"/>
  <c r="T566" i="2"/>
  <c r="V566" i="2"/>
  <c r="W566" i="2"/>
  <c r="AA567" i="2"/>
  <c r="D567" i="2"/>
  <c r="E567" i="2"/>
  <c r="G567" i="2"/>
  <c r="T567" i="2"/>
  <c r="V567" i="2"/>
  <c r="W567" i="2"/>
  <c r="AA568" i="2"/>
  <c r="D568" i="2"/>
  <c r="E568" i="2"/>
  <c r="G568" i="2"/>
  <c r="T568" i="2"/>
  <c r="V568" i="2"/>
  <c r="W568" i="2"/>
  <c r="AA569" i="2"/>
  <c r="D569" i="2"/>
  <c r="E569" i="2"/>
  <c r="G569" i="2"/>
  <c r="T569" i="2"/>
  <c r="V569" i="2"/>
  <c r="W569" i="2"/>
  <c r="AA570" i="2"/>
  <c r="D570" i="2"/>
  <c r="E570" i="2"/>
  <c r="G570" i="2"/>
  <c r="T570" i="2"/>
  <c r="V570" i="2"/>
  <c r="W570" i="2"/>
  <c r="AA571" i="2"/>
  <c r="D571" i="2"/>
  <c r="E571" i="2"/>
  <c r="G571" i="2"/>
  <c r="T571" i="2"/>
  <c r="V571" i="2"/>
  <c r="W571" i="2"/>
  <c r="AA572" i="2"/>
  <c r="D572" i="2"/>
  <c r="E572" i="2"/>
  <c r="G572" i="2"/>
  <c r="T572" i="2"/>
  <c r="V572" i="2"/>
  <c r="W572" i="2"/>
  <c r="AA573" i="2"/>
  <c r="D573" i="2"/>
  <c r="E573" i="2"/>
  <c r="G573" i="2"/>
  <c r="T573" i="2"/>
  <c r="V573" i="2"/>
  <c r="W573" i="2"/>
  <c r="AA574" i="2"/>
  <c r="D574" i="2"/>
  <c r="E574" i="2"/>
  <c r="G574" i="2"/>
  <c r="T574" i="2"/>
  <c r="V574" i="2"/>
  <c r="W574" i="2"/>
  <c r="AA575" i="2"/>
  <c r="D575" i="2"/>
  <c r="E575" i="2"/>
  <c r="G575" i="2"/>
  <c r="T575" i="2"/>
  <c r="V575" i="2"/>
  <c r="W575" i="2"/>
  <c r="AA576" i="2"/>
  <c r="D576" i="2"/>
  <c r="E576" i="2"/>
  <c r="G576" i="2"/>
  <c r="T576" i="2"/>
  <c r="V576" i="2"/>
  <c r="W576" i="2"/>
  <c r="AA577" i="2"/>
  <c r="D577" i="2"/>
  <c r="E577" i="2"/>
  <c r="G577" i="2"/>
  <c r="T577" i="2"/>
  <c r="V577" i="2"/>
  <c r="W577" i="2"/>
  <c r="AA578" i="2"/>
  <c r="D578" i="2"/>
  <c r="E578" i="2"/>
  <c r="G578" i="2"/>
  <c r="T578" i="2"/>
  <c r="V578" i="2"/>
  <c r="W578" i="2"/>
  <c r="AA579" i="2"/>
  <c r="D579" i="2"/>
  <c r="E579" i="2"/>
  <c r="G579" i="2"/>
  <c r="T579" i="2"/>
  <c r="V579" i="2"/>
  <c r="W579" i="2"/>
  <c r="AA580" i="2"/>
  <c r="D580" i="2"/>
  <c r="E580" i="2"/>
  <c r="G580" i="2"/>
  <c r="T580" i="2"/>
  <c r="V580" i="2"/>
  <c r="W580" i="2"/>
  <c r="G581" i="2"/>
  <c r="T581" i="2"/>
  <c r="V581" i="2"/>
  <c r="W581" i="2"/>
  <c r="G582" i="2"/>
  <c r="T582" i="2"/>
  <c r="V582" i="2"/>
  <c r="W582" i="2"/>
  <c r="G583" i="2"/>
  <c r="T583" i="2"/>
  <c r="V583" i="2"/>
  <c r="W583" i="2"/>
  <c r="G584" i="2"/>
  <c r="T584" i="2"/>
  <c r="V584" i="2"/>
  <c r="W584" i="2"/>
  <c r="G585" i="2"/>
  <c r="T585" i="2"/>
  <c r="V585" i="2"/>
  <c r="W585" i="2"/>
  <c r="G586" i="2"/>
  <c r="T586" i="2"/>
  <c r="V586" i="2"/>
  <c r="W586" i="2"/>
  <c r="G587" i="2"/>
  <c r="T587" i="2"/>
  <c r="V587" i="2"/>
  <c r="W587" i="2"/>
  <c r="G588" i="2"/>
  <c r="T588" i="2"/>
  <c r="V588" i="2"/>
  <c r="W588" i="2"/>
  <c r="G589" i="2"/>
  <c r="T589" i="2"/>
  <c r="V589" i="2"/>
  <c r="W589" i="2"/>
  <c r="G590" i="2"/>
  <c r="T590" i="2"/>
  <c r="V590" i="2"/>
  <c r="W590" i="2"/>
  <c r="AA591" i="2"/>
  <c r="E591" i="2"/>
  <c r="G591" i="2"/>
  <c r="T591" i="2"/>
  <c r="V591" i="2"/>
  <c r="W591" i="2"/>
  <c r="AA592" i="2"/>
  <c r="E592" i="2"/>
  <c r="G592" i="2"/>
  <c r="T592" i="2"/>
  <c r="V592" i="2"/>
  <c r="W592" i="2"/>
  <c r="G593" i="2"/>
  <c r="T593" i="2"/>
  <c r="V593" i="2"/>
  <c r="W593" i="2"/>
  <c r="G594" i="2"/>
  <c r="T594" i="2"/>
  <c r="V594" i="2"/>
  <c r="W594" i="2"/>
  <c r="G595" i="2"/>
  <c r="T595" i="2"/>
  <c r="V595" i="2"/>
  <c r="W595" i="2"/>
  <c r="AA596" i="2"/>
  <c r="E596" i="2"/>
  <c r="G596" i="2"/>
  <c r="T596" i="2"/>
  <c r="V596" i="2"/>
  <c r="W596" i="2"/>
  <c r="AA597" i="2"/>
  <c r="E597" i="2"/>
  <c r="G597" i="2"/>
  <c r="T597" i="2"/>
  <c r="V597" i="2"/>
  <c r="W597" i="2"/>
  <c r="AA598" i="2"/>
  <c r="E598" i="2"/>
  <c r="G598" i="2"/>
  <c r="T598" i="2"/>
  <c r="V598" i="2"/>
  <c r="W598" i="2"/>
  <c r="AA599" i="2"/>
  <c r="E599" i="2"/>
  <c r="G599" i="2"/>
  <c r="T599" i="2"/>
  <c r="V599" i="2"/>
  <c r="W599" i="2"/>
  <c r="AA600" i="2"/>
  <c r="E600" i="2"/>
  <c r="G600" i="2"/>
  <c r="T600" i="2"/>
  <c r="V600" i="2"/>
  <c r="W600" i="2"/>
  <c r="G601" i="2"/>
  <c r="T601" i="2"/>
  <c r="V601" i="2"/>
  <c r="W601" i="2"/>
  <c r="G602" i="2"/>
  <c r="T602" i="2"/>
  <c r="V602" i="2"/>
  <c r="W602" i="2"/>
  <c r="G603" i="2"/>
  <c r="T603" i="2"/>
  <c r="V603" i="2"/>
  <c r="W603" i="2"/>
  <c r="G604" i="2"/>
  <c r="T604" i="2"/>
  <c r="V604" i="2"/>
  <c r="W604" i="2"/>
  <c r="G605" i="2"/>
  <c r="T605" i="2"/>
  <c r="V605" i="2"/>
  <c r="W605" i="2"/>
  <c r="G606" i="2"/>
  <c r="T606" i="2"/>
  <c r="V606" i="2"/>
  <c r="W606" i="2"/>
  <c r="G607" i="2"/>
  <c r="T607" i="2"/>
  <c r="V607" i="2"/>
  <c r="W607" i="2"/>
  <c r="G608" i="2"/>
  <c r="T608" i="2"/>
  <c r="V608" i="2"/>
  <c r="W608" i="2"/>
  <c r="G609" i="2"/>
  <c r="T609" i="2"/>
  <c r="V609" i="2"/>
  <c r="W609" i="2"/>
  <c r="AA610" i="2"/>
  <c r="E610" i="2"/>
  <c r="G610" i="2"/>
  <c r="T610" i="2"/>
  <c r="V610" i="2"/>
  <c r="W610" i="2"/>
  <c r="G611" i="2"/>
  <c r="T611" i="2"/>
  <c r="V611" i="2"/>
  <c r="W611" i="2"/>
  <c r="G612" i="2"/>
  <c r="T612" i="2"/>
  <c r="V612" i="2"/>
  <c r="W612" i="2"/>
  <c r="G613" i="2"/>
  <c r="T613" i="2"/>
  <c r="V613" i="2"/>
  <c r="W613" i="2"/>
  <c r="G614" i="2"/>
  <c r="T614" i="2"/>
  <c r="V614" i="2"/>
  <c r="W614" i="2"/>
  <c r="G615" i="2"/>
  <c r="T615" i="2"/>
  <c r="V615" i="2"/>
  <c r="W615" i="2"/>
  <c r="G616" i="2"/>
  <c r="T616" i="2"/>
  <c r="V616" i="2"/>
  <c r="W616" i="2"/>
  <c r="G617" i="2"/>
  <c r="T617" i="2"/>
  <c r="V617" i="2"/>
  <c r="W617" i="2"/>
  <c r="G618" i="2"/>
  <c r="T618" i="2"/>
  <c r="V618" i="2"/>
  <c r="W618" i="2"/>
  <c r="G619" i="2"/>
  <c r="T619" i="2"/>
  <c r="V619" i="2"/>
  <c r="W619" i="2"/>
  <c r="G620" i="2"/>
  <c r="T620" i="2"/>
  <c r="V620" i="2"/>
  <c r="W620" i="2"/>
  <c r="G621" i="2"/>
  <c r="T621" i="2"/>
  <c r="V621" i="2"/>
  <c r="W621" i="2"/>
  <c r="G622" i="2"/>
  <c r="T622" i="2"/>
  <c r="V622" i="2"/>
  <c r="W622" i="2"/>
  <c r="G623" i="2"/>
  <c r="T623" i="2"/>
  <c r="V623" i="2"/>
  <c r="W623" i="2"/>
  <c r="G624" i="2"/>
  <c r="T624" i="2"/>
  <c r="V624" i="2"/>
  <c r="W624" i="2"/>
  <c r="G625" i="2"/>
  <c r="T625" i="2"/>
  <c r="V625" i="2"/>
  <c r="W625" i="2"/>
  <c r="G626" i="2"/>
  <c r="T626" i="2"/>
  <c r="V626" i="2"/>
  <c r="W626" i="2"/>
  <c r="G627" i="2"/>
  <c r="T627" i="2"/>
  <c r="V627" i="2"/>
  <c r="W627" i="2"/>
  <c r="G628" i="2"/>
  <c r="T628" i="2"/>
  <c r="V628" i="2"/>
  <c r="W628" i="2"/>
  <c r="G629" i="2"/>
  <c r="T629" i="2"/>
  <c r="V629" i="2"/>
  <c r="W629" i="2"/>
  <c r="G630" i="2"/>
  <c r="T630" i="2"/>
  <c r="V630" i="2"/>
  <c r="W630" i="2"/>
  <c r="G631" i="2"/>
  <c r="T631" i="2"/>
  <c r="V631" i="2"/>
  <c r="W631" i="2"/>
  <c r="G632" i="2"/>
  <c r="T632" i="2"/>
  <c r="V632" i="2"/>
  <c r="W632" i="2"/>
  <c r="G633" i="2"/>
  <c r="T633" i="2"/>
  <c r="V633" i="2"/>
  <c r="W633" i="2"/>
  <c r="G634" i="2"/>
  <c r="T634" i="2"/>
  <c r="V634" i="2"/>
  <c r="W634" i="2"/>
  <c r="G635" i="2"/>
  <c r="T635" i="2"/>
  <c r="V635" i="2"/>
  <c r="W635" i="2"/>
  <c r="G636" i="2"/>
  <c r="T636" i="2"/>
  <c r="V636" i="2"/>
  <c r="W636" i="2"/>
  <c r="G637" i="2"/>
  <c r="T637" i="2"/>
  <c r="V637" i="2"/>
  <c r="W637" i="2"/>
  <c r="G638" i="2"/>
  <c r="T638" i="2"/>
  <c r="V638" i="2"/>
  <c r="W638" i="2"/>
  <c r="G639" i="2"/>
  <c r="T639" i="2"/>
  <c r="V639" i="2"/>
  <c r="W639" i="2"/>
  <c r="G640" i="2"/>
  <c r="T640" i="2"/>
  <c r="V640" i="2"/>
  <c r="W640" i="2"/>
  <c r="G641" i="2"/>
  <c r="T641" i="2"/>
  <c r="V641" i="2"/>
  <c r="W641" i="2"/>
  <c r="G642" i="2"/>
  <c r="T642" i="2"/>
  <c r="V642" i="2"/>
  <c r="W642" i="2"/>
  <c r="G643" i="2"/>
  <c r="T643" i="2"/>
  <c r="V643" i="2"/>
  <c r="W643" i="2"/>
  <c r="G644" i="2"/>
  <c r="T644" i="2"/>
  <c r="V644" i="2"/>
  <c r="W644" i="2"/>
  <c r="G645" i="2"/>
  <c r="T645" i="2"/>
  <c r="V645" i="2"/>
  <c r="W645" i="2"/>
  <c r="G646" i="2"/>
  <c r="T646" i="2"/>
  <c r="V646" i="2"/>
  <c r="W646" i="2"/>
  <c r="G647" i="2"/>
  <c r="T647" i="2"/>
  <c r="V647" i="2"/>
  <c r="W647" i="2"/>
  <c r="G648" i="2"/>
  <c r="T648" i="2"/>
  <c r="V648" i="2"/>
  <c r="W648" i="2"/>
  <c r="G649" i="2"/>
  <c r="T649" i="2"/>
  <c r="V649" i="2"/>
  <c r="W649" i="2"/>
  <c r="G650" i="2"/>
  <c r="T650" i="2"/>
  <c r="V650" i="2"/>
  <c r="W650" i="2"/>
  <c r="G651" i="2"/>
  <c r="T651" i="2"/>
  <c r="V651" i="2"/>
  <c r="W651" i="2"/>
  <c r="G652" i="2"/>
  <c r="T652" i="2"/>
  <c r="V652" i="2"/>
  <c r="W652" i="2"/>
  <c r="G653" i="2"/>
  <c r="T653" i="2"/>
  <c r="V653" i="2"/>
  <c r="W653" i="2"/>
  <c r="G654" i="2"/>
  <c r="T654" i="2"/>
  <c r="V654" i="2"/>
  <c r="W654" i="2"/>
  <c r="G655" i="2"/>
  <c r="T655" i="2"/>
  <c r="V655" i="2"/>
  <c r="W655" i="2"/>
  <c r="G656" i="2"/>
  <c r="T656" i="2"/>
  <c r="V656" i="2"/>
  <c r="W656" i="2"/>
  <c r="G657" i="2"/>
  <c r="T657" i="2"/>
  <c r="V657" i="2"/>
  <c r="W657" i="2"/>
  <c r="G658" i="2"/>
  <c r="T658" i="2"/>
  <c r="V658" i="2"/>
  <c r="W658" i="2"/>
  <c r="G659" i="2"/>
  <c r="T659" i="2"/>
  <c r="V659" i="2"/>
  <c r="W659" i="2"/>
  <c r="G660" i="2"/>
  <c r="T660" i="2"/>
  <c r="V660" i="2"/>
  <c r="W660" i="2"/>
  <c r="G661" i="2"/>
  <c r="T661" i="2"/>
  <c r="V661" i="2"/>
  <c r="W661" i="2"/>
  <c r="G662" i="2"/>
  <c r="T662" i="2"/>
  <c r="V662" i="2"/>
  <c r="W662" i="2"/>
  <c r="G663" i="2"/>
  <c r="T663" i="2"/>
  <c r="V663" i="2"/>
  <c r="W663" i="2"/>
  <c r="G664" i="2"/>
  <c r="T664" i="2"/>
  <c r="V664" i="2"/>
  <c r="W664" i="2"/>
  <c r="G665" i="2"/>
  <c r="T665" i="2"/>
  <c r="V665" i="2"/>
  <c r="W665" i="2"/>
  <c r="G666" i="2"/>
  <c r="T666" i="2"/>
  <c r="V666" i="2"/>
  <c r="W666" i="2"/>
  <c r="G667" i="2"/>
  <c r="T667" i="2"/>
  <c r="V667" i="2"/>
  <c r="W667" i="2"/>
  <c r="G668" i="2"/>
  <c r="T668" i="2"/>
  <c r="V668" i="2"/>
  <c r="W668" i="2"/>
  <c r="G669" i="2"/>
  <c r="T669" i="2"/>
  <c r="V669" i="2"/>
  <c r="W669" i="2"/>
  <c r="G670" i="2"/>
  <c r="T670" i="2"/>
  <c r="V670" i="2"/>
  <c r="W670" i="2"/>
  <c r="G671" i="2"/>
  <c r="T671" i="2"/>
  <c r="V671" i="2"/>
  <c r="W671" i="2"/>
  <c r="G672" i="2"/>
  <c r="T672" i="2"/>
  <c r="V672" i="2"/>
  <c r="W672" i="2"/>
  <c r="G673" i="2"/>
  <c r="T673" i="2"/>
  <c r="V673" i="2"/>
  <c r="W673" i="2"/>
  <c r="G674" i="2"/>
  <c r="T674" i="2"/>
  <c r="V674" i="2"/>
  <c r="W674" i="2"/>
  <c r="G675" i="2"/>
  <c r="T675" i="2"/>
  <c r="V675" i="2"/>
  <c r="W675" i="2"/>
  <c r="G676" i="2"/>
  <c r="T676" i="2"/>
  <c r="V676" i="2"/>
  <c r="W676" i="2"/>
  <c r="G677" i="2"/>
  <c r="T677" i="2"/>
  <c r="V677" i="2"/>
  <c r="W677" i="2"/>
  <c r="G678" i="2"/>
  <c r="T678" i="2"/>
  <c r="V678" i="2"/>
  <c r="W678" i="2"/>
  <c r="G679" i="2"/>
  <c r="T679" i="2"/>
  <c r="V679" i="2"/>
  <c r="W679" i="2"/>
  <c r="G680" i="2"/>
  <c r="T680" i="2"/>
  <c r="V680" i="2"/>
  <c r="W680" i="2"/>
  <c r="G681" i="2"/>
  <c r="T681" i="2"/>
  <c r="V681" i="2"/>
  <c r="W681" i="2"/>
  <c r="G682" i="2"/>
  <c r="T682" i="2"/>
  <c r="V682" i="2"/>
  <c r="W682" i="2"/>
  <c r="G683" i="2"/>
  <c r="T683" i="2"/>
  <c r="V683" i="2"/>
  <c r="W683" i="2"/>
  <c r="G684" i="2"/>
  <c r="T684" i="2"/>
  <c r="V684" i="2"/>
  <c r="W684" i="2"/>
  <c r="G685" i="2"/>
  <c r="T685" i="2"/>
  <c r="V685" i="2"/>
  <c r="W685" i="2"/>
  <c r="G686" i="2"/>
  <c r="T686" i="2"/>
  <c r="V686" i="2"/>
  <c r="W686" i="2"/>
  <c r="G687" i="2"/>
  <c r="T687" i="2"/>
  <c r="V687" i="2"/>
  <c r="W687" i="2"/>
  <c r="G688" i="2"/>
  <c r="T688" i="2"/>
  <c r="V688" i="2"/>
  <c r="W688" i="2"/>
  <c r="G689" i="2"/>
  <c r="T689" i="2"/>
  <c r="V689" i="2"/>
  <c r="W689" i="2"/>
  <c r="G690" i="2"/>
  <c r="T690" i="2"/>
  <c r="V690" i="2"/>
  <c r="W690" i="2"/>
  <c r="G691" i="2"/>
  <c r="T691" i="2"/>
  <c r="V691" i="2"/>
  <c r="W691" i="2"/>
  <c r="D692" i="2"/>
  <c r="E692" i="2"/>
  <c r="G692" i="2"/>
  <c r="T692" i="2"/>
  <c r="V692" i="2"/>
  <c r="W692" i="2"/>
  <c r="E699" i="2"/>
  <c r="E698" i="2"/>
  <c r="G699" i="2"/>
  <c r="T699" i="2"/>
  <c r="V699" i="2"/>
  <c r="W699" i="2"/>
  <c r="E700" i="2"/>
  <c r="G700" i="2"/>
  <c r="T700" i="2"/>
  <c r="V700" i="2"/>
  <c r="W700" i="2"/>
  <c r="E701" i="2"/>
  <c r="G701" i="2"/>
  <c r="T701" i="2"/>
  <c r="V701" i="2"/>
  <c r="W701" i="2"/>
  <c r="E702" i="2"/>
  <c r="G702" i="2"/>
  <c r="T702" i="2"/>
  <c r="V702" i="2"/>
  <c r="W702" i="2"/>
  <c r="E703" i="2"/>
  <c r="G703" i="2"/>
  <c r="T703" i="2"/>
  <c r="V703" i="2"/>
  <c r="W703" i="2"/>
  <c r="E704" i="2"/>
  <c r="G704" i="2"/>
  <c r="T704" i="2"/>
  <c r="V704" i="2"/>
  <c r="W704" i="2"/>
  <c r="E705" i="2"/>
  <c r="G705" i="2"/>
  <c r="T705" i="2"/>
  <c r="V705" i="2"/>
  <c r="W705" i="2"/>
  <c r="E706" i="2"/>
  <c r="G706" i="2"/>
  <c r="T706" i="2"/>
  <c r="V706" i="2"/>
  <c r="W706" i="2"/>
  <c r="G707" i="2"/>
  <c r="T707" i="2"/>
  <c r="V707" i="2"/>
  <c r="W707" i="2"/>
  <c r="X708" i="2"/>
  <c r="T709" i="2"/>
  <c r="U709" i="2"/>
  <c r="G709" i="2"/>
  <c r="V709" i="2"/>
  <c r="W709" i="2"/>
  <c r="X709" i="2"/>
  <c r="T710" i="2"/>
  <c r="U710" i="2"/>
  <c r="G710" i="2"/>
  <c r="V710" i="2"/>
  <c r="W710" i="2"/>
  <c r="X710" i="2"/>
  <c r="T711" i="2"/>
  <c r="U711" i="2"/>
  <c r="G711" i="2"/>
  <c r="V711" i="2"/>
  <c r="W711" i="2"/>
  <c r="X711" i="2"/>
  <c r="T712" i="2"/>
  <c r="U712" i="2"/>
  <c r="G712" i="2"/>
  <c r="V712" i="2"/>
  <c r="W712" i="2"/>
  <c r="X712" i="2"/>
  <c r="T713" i="2"/>
  <c r="U713" i="2"/>
  <c r="G713" i="2"/>
  <c r="V713" i="2"/>
  <c r="W713" i="2"/>
  <c r="X713" i="2"/>
  <c r="T714" i="2"/>
  <c r="U714" i="2"/>
  <c r="G714" i="2"/>
  <c r="V714" i="2"/>
  <c r="W714" i="2"/>
  <c r="X714" i="2"/>
  <c r="T715" i="2"/>
  <c r="U715" i="2"/>
  <c r="G715" i="2"/>
  <c r="V715" i="2"/>
  <c r="W715" i="2"/>
  <c r="X715" i="2"/>
  <c r="T716" i="2"/>
  <c r="U716" i="2"/>
  <c r="G716" i="2"/>
  <c r="V716" i="2"/>
  <c r="W716" i="2"/>
  <c r="X716" i="2"/>
  <c r="T717" i="2"/>
  <c r="U717" i="2"/>
  <c r="G717" i="2"/>
  <c r="V717" i="2"/>
  <c r="W717" i="2"/>
  <c r="X717" i="2"/>
  <c r="T718" i="2"/>
  <c r="U718" i="2"/>
  <c r="G718" i="2"/>
  <c r="V718" i="2"/>
  <c r="W718" i="2"/>
  <c r="X718" i="2"/>
  <c r="T719" i="2"/>
  <c r="U719" i="2"/>
  <c r="G719" i="2"/>
  <c r="V719" i="2"/>
  <c r="W719" i="2"/>
  <c r="X719" i="2"/>
  <c r="T720" i="2"/>
  <c r="U720" i="2"/>
  <c r="G720" i="2"/>
  <c r="V720" i="2"/>
  <c r="W720" i="2"/>
  <c r="X720" i="2"/>
  <c r="T721" i="2"/>
  <c r="U721" i="2"/>
  <c r="G721" i="2"/>
  <c r="V721" i="2"/>
  <c r="W721" i="2"/>
  <c r="X721" i="2"/>
  <c r="M708" i="2"/>
  <c r="N708" i="2"/>
  <c r="O708" i="2"/>
  <c r="P708" i="2"/>
  <c r="G4" i="2"/>
  <c r="M4" i="2"/>
  <c r="O4" i="2"/>
  <c r="P4" i="2"/>
  <c r="G5" i="2"/>
  <c r="M5" i="2"/>
  <c r="O5" i="2"/>
  <c r="P5" i="2"/>
  <c r="G6" i="2"/>
  <c r="M6" i="2"/>
  <c r="O6" i="2"/>
  <c r="P6" i="2"/>
  <c r="G7" i="2"/>
  <c r="M7" i="2"/>
  <c r="O7" i="2"/>
  <c r="P7" i="2"/>
  <c r="G8" i="2"/>
  <c r="M8" i="2"/>
  <c r="O8" i="2"/>
  <c r="P8" i="2"/>
  <c r="G9" i="2"/>
  <c r="L9" i="2"/>
  <c r="M9" i="2"/>
  <c r="O9" i="2"/>
  <c r="P9" i="2"/>
  <c r="G10" i="2"/>
  <c r="M10" i="2"/>
  <c r="O10" i="2"/>
  <c r="P10" i="2"/>
  <c r="G11" i="2"/>
  <c r="M11" i="2"/>
  <c r="O11" i="2"/>
  <c r="P11" i="2"/>
  <c r="G12" i="2"/>
  <c r="M12" i="2"/>
  <c r="O12" i="2"/>
  <c r="P12" i="2"/>
  <c r="G13" i="2"/>
  <c r="M13" i="2"/>
  <c r="O13" i="2"/>
  <c r="P13" i="2"/>
  <c r="G14" i="2"/>
  <c r="M14" i="2"/>
  <c r="O14" i="2"/>
  <c r="P14" i="2"/>
  <c r="G15" i="2"/>
  <c r="M15" i="2"/>
  <c r="O15" i="2"/>
  <c r="P15" i="2"/>
  <c r="G16" i="2"/>
  <c r="M16" i="2"/>
  <c r="O16" i="2"/>
  <c r="P16" i="2"/>
  <c r="G17" i="2"/>
  <c r="M17" i="2"/>
  <c r="O17" i="2"/>
  <c r="P17" i="2"/>
  <c r="G18" i="2"/>
  <c r="M18" i="2"/>
  <c r="O18" i="2"/>
  <c r="P18" i="2"/>
  <c r="G19" i="2"/>
  <c r="M19" i="2"/>
  <c r="O19" i="2"/>
  <c r="P19" i="2"/>
  <c r="G20" i="2"/>
  <c r="M20" i="2"/>
  <c r="O20" i="2"/>
  <c r="P20" i="2"/>
  <c r="G21" i="2"/>
  <c r="M21" i="2"/>
  <c r="O21" i="2"/>
  <c r="P21" i="2"/>
  <c r="G22" i="2"/>
  <c r="M22" i="2"/>
  <c r="O22" i="2"/>
  <c r="P22" i="2"/>
  <c r="G23" i="2"/>
  <c r="M23" i="2"/>
  <c r="O23" i="2"/>
  <c r="P23" i="2"/>
  <c r="G24" i="2"/>
  <c r="M24" i="2"/>
  <c r="O24" i="2"/>
  <c r="P24" i="2"/>
  <c r="G25" i="2"/>
  <c r="M25" i="2"/>
  <c r="O25" i="2"/>
  <c r="P25" i="2"/>
  <c r="G26" i="2"/>
  <c r="M26" i="2"/>
  <c r="O26" i="2"/>
  <c r="P26" i="2"/>
  <c r="G27" i="2"/>
  <c r="M27" i="2"/>
  <c r="O27" i="2"/>
  <c r="P27" i="2"/>
  <c r="G28" i="2"/>
  <c r="M28" i="2"/>
  <c r="O28" i="2"/>
  <c r="P28" i="2"/>
  <c r="G29" i="2"/>
  <c r="M29" i="2"/>
  <c r="O29" i="2"/>
  <c r="P29" i="2"/>
  <c r="G30" i="2"/>
  <c r="M30" i="2"/>
  <c r="O30" i="2"/>
  <c r="P30" i="2"/>
  <c r="G31" i="2"/>
  <c r="M31" i="2"/>
  <c r="O31" i="2"/>
  <c r="P31" i="2"/>
  <c r="G32" i="2"/>
  <c r="M32" i="2"/>
  <c r="O32" i="2"/>
  <c r="P32" i="2"/>
  <c r="G33" i="2"/>
  <c r="M33" i="2"/>
  <c r="O33" i="2"/>
  <c r="P33" i="2"/>
  <c r="G34" i="2"/>
  <c r="M34" i="2"/>
  <c r="O34" i="2"/>
  <c r="P34" i="2"/>
  <c r="G35" i="2"/>
  <c r="M35" i="2"/>
  <c r="O35" i="2"/>
  <c r="P35" i="2"/>
  <c r="G36" i="2"/>
  <c r="M36" i="2"/>
  <c r="O36" i="2"/>
  <c r="P36" i="2"/>
  <c r="G37" i="2"/>
  <c r="M37" i="2"/>
  <c r="O37" i="2"/>
  <c r="P37" i="2"/>
  <c r="G38" i="2"/>
  <c r="M38" i="2"/>
  <c r="O38" i="2"/>
  <c r="P38" i="2"/>
  <c r="G39" i="2"/>
  <c r="M39" i="2"/>
  <c r="O39" i="2"/>
  <c r="P39" i="2"/>
  <c r="G40" i="2"/>
  <c r="M40" i="2"/>
  <c r="O40" i="2"/>
  <c r="P40" i="2"/>
  <c r="E41" i="2"/>
  <c r="E40" i="2"/>
  <c r="G41" i="2"/>
  <c r="M41" i="2"/>
  <c r="O41" i="2"/>
  <c r="P41" i="2"/>
  <c r="E42" i="2"/>
  <c r="G42" i="2"/>
  <c r="M42" i="2"/>
  <c r="O42" i="2"/>
  <c r="P42" i="2"/>
  <c r="E43" i="2"/>
  <c r="G43" i="2"/>
  <c r="M43" i="2"/>
  <c r="O43" i="2"/>
  <c r="P43" i="2"/>
  <c r="E44" i="2"/>
  <c r="G44" i="2"/>
  <c r="M44" i="2"/>
  <c r="O44" i="2"/>
  <c r="P44" i="2"/>
  <c r="E45" i="2"/>
  <c r="G45" i="2"/>
  <c r="M45" i="2"/>
  <c r="O45" i="2"/>
  <c r="P45" i="2"/>
  <c r="E46" i="2"/>
  <c r="G46" i="2"/>
  <c r="M46" i="2"/>
  <c r="O46" i="2"/>
  <c r="P46" i="2"/>
  <c r="E47" i="2"/>
  <c r="G47" i="2"/>
  <c r="M47" i="2"/>
  <c r="O47" i="2"/>
  <c r="P47" i="2"/>
  <c r="E48" i="2"/>
  <c r="G48" i="2"/>
  <c r="M48" i="2"/>
  <c r="O48" i="2"/>
  <c r="P48" i="2"/>
  <c r="E49" i="2"/>
  <c r="G49" i="2"/>
  <c r="M49" i="2"/>
  <c r="O49" i="2"/>
  <c r="P49" i="2"/>
  <c r="E50" i="2"/>
  <c r="G50" i="2"/>
  <c r="M50" i="2"/>
  <c r="O50" i="2"/>
  <c r="P50" i="2"/>
  <c r="E51" i="2"/>
  <c r="G51" i="2"/>
  <c r="M51" i="2"/>
  <c r="O51" i="2"/>
  <c r="P51" i="2"/>
  <c r="E52" i="2"/>
  <c r="G52" i="2"/>
  <c r="M52" i="2"/>
  <c r="O52" i="2"/>
  <c r="P52" i="2"/>
  <c r="E53" i="2"/>
  <c r="G53" i="2"/>
  <c r="M53" i="2"/>
  <c r="O53" i="2"/>
  <c r="P53" i="2"/>
  <c r="E54" i="2"/>
  <c r="G54" i="2"/>
  <c r="M54" i="2"/>
  <c r="O54" i="2"/>
  <c r="P54" i="2"/>
  <c r="E55" i="2"/>
  <c r="G55" i="2"/>
  <c r="M55" i="2"/>
  <c r="O55" i="2"/>
  <c r="P55" i="2"/>
  <c r="E56" i="2"/>
  <c r="G56" i="2"/>
  <c r="M56" i="2"/>
  <c r="O56" i="2"/>
  <c r="P56" i="2"/>
  <c r="E57" i="2"/>
  <c r="G57" i="2"/>
  <c r="M57" i="2"/>
  <c r="O57" i="2"/>
  <c r="P57" i="2"/>
  <c r="E58" i="2"/>
  <c r="G58" i="2"/>
  <c r="M58" i="2"/>
  <c r="O58" i="2"/>
  <c r="P58" i="2"/>
  <c r="E59" i="2"/>
  <c r="G59" i="2"/>
  <c r="M59" i="2"/>
  <c r="O59" i="2"/>
  <c r="P59" i="2"/>
  <c r="E60" i="2"/>
  <c r="G60" i="2"/>
  <c r="M60" i="2"/>
  <c r="O60" i="2"/>
  <c r="P60" i="2"/>
  <c r="E61" i="2"/>
  <c r="G61" i="2"/>
  <c r="M61" i="2"/>
  <c r="O61" i="2"/>
  <c r="P61" i="2"/>
  <c r="E62" i="2"/>
  <c r="G62" i="2"/>
  <c r="M62" i="2"/>
  <c r="O62" i="2"/>
  <c r="P62" i="2"/>
  <c r="E63" i="2"/>
  <c r="G63" i="2"/>
  <c r="M63" i="2"/>
  <c r="O63" i="2"/>
  <c r="P63" i="2"/>
  <c r="E64" i="2"/>
  <c r="G64" i="2"/>
  <c r="M64" i="2"/>
  <c r="O64" i="2"/>
  <c r="P64" i="2"/>
  <c r="E65" i="2"/>
  <c r="G65" i="2"/>
  <c r="M65" i="2"/>
  <c r="O65" i="2"/>
  <c r="P65" i="2"/>
  <c r="E66" i="2"/>
  <c r="G66" i="2"/>
  <c r="M66" i="2"/>
  <c r="O66" i="2"/>
  <c r="P66" i="2"/>
  <c r="E67" i="2"/>
  <c r="G67" i="2"/>
  <c r="M67" i="2"/>
  <c r="O67" i="2"/>
  <c r="P67" i="2"/>
  <c r="E68" i="2"/>
  <c r="G68" i="2"/>
  <c r="M68" i="2"/>
  <c r="O68" i="2"/>
  <c r="P68" i="2"/>
  <c r="E69" i="2"/>
  <c r="G69" i="2"/>
  <c r="M69" i="2"/>
  <c r="O69" i="2"/>
  <c r="P69" i="2"/>
  <c r="E70" i="2"/>
  <c r="G70" i="2"/>
  <c r="M70" i="2"/>
  <c r="O70" i="2"/>
  <c r="P70" i="2"/>
  <c r="E71" i="2"/>
  <c r="G71" i="2"/>
  <c r="M71" i="2"/>
  <c r="O71" i="2"/>
  <c r="P71" i="2"/>
  <c r="E72" i="2"/>
  <c r="G72" i="2"/>
  <c r="M72" i="2"/>
  <c r="O72" i="2"/>
  <c r="P72" i="2"/>
  <c r="E73" i="2"/>
  <c r="G73" i="2"/>
  <c r="M73" i="2"/>
  <c r="O73" i="2"/>
  <c r="P73" i="2"/>
  <c r="E74" i="2"/>
  <c r="G74" i="2"/>
  <c r="M74" i="2"/>
  <c r="O74" i="2"/>
  <c r="P74" i="2"/>
  <c r="E75" i="2"/>
  <c r="G75" i="2"/>
  <c r="M75" i="2"/>
  <c r="O75" i="2"/>
  <c r="P75" i="2"/>
  <c r="E76" i="2"/>
  <c r="G76" i="2"/>
  <c r="M76" i="2"/>
  <c r="O76" i="2"/>
  <c r="P76" i="2"/>
  <c r="E77" i="2"/>
  <c r="G77" i="2"/>
  <c r="M77" i="2"/>
  <c r="O77" i="2"/>
  <c r="P77" i="2"/>
  <c r="E78" i="2"/>
  <c r="G78" i="2"/>
  <c r="M78" i="2"/>
  <c r="O78" i="2"/>
  <c r="P78" i="2"/>
  <c r="E79" i="2"/>
  <c r="G79" i="2"/>
  <c r="M79" i="2"/>
  <c r="O79" i="2"/>
  <c r="P79" i="2"/>
  <c r="E80" i="2"/>
  <c r="G80" i="2"/>
  <c r="M80" i="2"/>
  <c r="O80" i="2"/>
  <c r="P80" i="2"/>
  <c r="E81" i="2"/>
  <c r="G81" i="2"/>
  <c r="M81" i="2"/>
  <c r="O81" i="2"/>
  <c r="P81" i="2"/>
  <c r="E82" i="2"/>
  <c r="G82" i="2"/>
  <c r="M82" i="2"/>
  <c r="O82" i="2"/>
  <c r="P82" i="2"/>
  <c r="E83" i="2"/>
  <c r="G83" i="2"/>
  <c r="M83" i="2"/>
  <c r="O83" i="2"/>
  <c r="P83" i="2"/>
  <c r="E84" i="2"/>
  <c r="G84" i="2"/>
  <c r="M84" i="2"/>
  <c r="O84" i="2"/>
  <c r="P84" i="2"/>
  <c r="E85" i="2"/>
  <c r="G85" i="2"/>
  <c r="M85" i="2"/>
  <c r="O85" i="2"/>
  <c r="P85" i="2"/>
  <c r="E86" i="2"/>
  <c r="G86" i="2"/>
  <c r="M86" i="2"/>
  <c r="O86" i="2"/>
  <c r="P86" i="2"/>
  <c r="E87" i="2"/>
  <c r="G87" i="2"/>
  <c r="M87" i="2"/>
  <c r="O87" i="2"/>
  <c r="P87" i="2"/>
  <c r="E88" i="2"/>
  <c r="G88" i="2"/>
  <c r="M88" i="2"/>
  <c r="O88" i="2"/>
  <c r="P88" i="2"/>
  <c r="E89" i="2"/>
  <c r="G89" i="2"/>
  <c r="M89" i="2"/>
  <c r="O89" i="2"/>
  <c r="P89" i="2"/>
  <c r="E90" i="2"/>
  <c r="G90" i="2"/>
  <c r="M90" i="2"/>
  <c r="O90" i="2"/>
  <c r="P90" i="2"/>
  <c r="E91" i="2"/>
  <c r="G91" i="2"/>
  <c r="M91" i="2"/>
  <c r="O91" i="2"/>
  <c r="P91" i="2"/>
  <c r="E92" i="2"/>
  <c r="G92" i="2"/>
  <c r="M92" i="2"/>
  <c r="O92" i="2"/>
  <c r="P92" i="2"/>
  <c r="E93" i="2"/>
  <c r="G93" i="2"/>
  <c r="M93" i="2"/>
  <c r="O93" i="2"/>
  <c r="P93" i="2"/>
  <c r="E94" i="2"/>
  <c r="G94" i="2"/>
  <c r="M94" i="2"/>
  <c r="O94" i="2"/>
  <c r="P94" i="2"/>
  <c r="E95" i="2"/>
  <c r="G95" i="2"/>
  <c r="M95" i="2"/>
  <c r="O95" i="2"/>
  <c r="P95" i="2"/>
  <c r="E96" i="2"/>
  <c r="G96" i="2"/>
  <c r="M96" i="2"/>
  <c r="O96" i="2"/>
  <c r="P96" i="2"/>
  <c r="E97" i="2"/>
  <c r="G97" i="2"/>
  <c r="M97" i="2"/>
  <c r="O97" i="2"/>
  <c r="P97" i="2"/>
  <c r="E98" i="2"/>
  <c r="G98" i="2"/>
  <c r="M98" i="2"/>
  <c r="O98" i="2"/>
  <c r="P98" i="2"/>
  <c r="E99" i="2"/>
  <c r="G99" i="2"/>
  <c r="M99" i="2"/>
  <c r="O99" i="2"/>
  <c r="P99" i="2"/>
  <c r="E100" i="2"/>
  <c r="G100" i="2"/>
  <c r="M100" i="2"/>
  <c r="O100" i="2"/>
  <c r="P100" i="2"/>
  <c r="E101" i="2"/>
  <c r="G101" i="2"/>
  <c r="M101" i="2"/>
  <c r="O101" i="2"/>
  <c r="P101" i="2"/>
  <c r="E102" i="2"/>
  <c r="G102" i="2"/>
  <c r="M102" i="2"/>
  <c r="O102" i="2"/>
  <c r="P102" i="2"/>
  <c r="E103" i="2"/>
  <c r="G103" i="2"/>
  <c r="M103" i="2"/>
  <c r="O103" i="2"/>
  <c r="P103" i="2"/>
  <c r="E104" i="2"/>
  <c r="G104" i="2"/>
  <c r="M104" i="2"/>
  <c r="O104" i="2"/>
  <c r="P104" i="2"/>
  <c r="E105" i="2"/>
  <c r="G105" i="2"/>
  <c r="M105" i="2"/>
  <c r="O105" i="2"/>
  <c r="P105" i="2"/>
  <c r="E106" i="2"/>
  <c r="G106" i="2"/>
  <c r="M106" i="2"/>
  <c r="O106" i="2"/>
  <c r="P106" i="2"/>
  <c r="E107" i="2"/>
  <c r="G107" i="2"/>
  <c r="M107" i="2"/>
  <c r="O107" i="2"/>
  <c r="P107" i="2"/>
  <c r="E108" i="2"/>
  <c r="G108" i="2"/>
  <c r="M108" i="2"/>
  <c r="O108" i="2"/>
  <c r="P108" i="2"/>
  <c r="E109" i="2"/>
  <c r="G109" i="2"/>
  <c r="M109" i="2"/>
  <c r="O109" i="2"/>
  <c r="P109" i="2"/>
  <c r="E110" i="2"/>
  <c r="G110" i="2"/>
  <c r="M110" i="2"/>
  <c r="O110" i="2"/>
  <c r="P110" i="2"/>
  <c r="E111" i="2"/>
  <c r="G111" i="2"/>
  <c r="M111" i="2"/>
  <c r="O111" i="2"/>
  <c r="P111" i="2"/>
  <c r="E112" i="2"/>
  <c r="G112" i="2"/>
  <c r="M112" i="2"/>
  <c r="O112" i="2"/>
  <c r="P112" i="2"/>
  <c r="E113" i="2"/>
  <c r="G113" i="2"/>
  <c r="M113" i="2"/>
  <c r="O113" i="2"/>
  <c r="P113" i="2"/>
  <c r="E114" i="2"/>
  <c r="G114" i="2"/>
  <c r="M114" i="2"/>
  <c r="O114" i="2"/>
  <c r="P114" i="2"/>
  <c r="E115" i="2"/>
  <c r="G115" i="2"/>
  <c r="M115" i="2"/>
  <c r="O115" i="2"/>
  <c r="P115" i="2"/>
  <c r="E116" i="2"/>
  <c r="G116" i="2"/>
  <c r="M116" i="2"/>
  <c r="O116" i="2"/>
  <c r="P116" i="2"/>
  <c r="E117" i="2"/>
  <c r="G117" i="2"/>
  <c r="M117" i="2"/>
  <c r="O117" i="2"/>
  <c r="P117" i="2"/>
  <c r="E118" i="2"/>
  <c r="G118" i="2"/>
  <c r="M118" i="2"/>
  <c r="O118" i="2"/>
  <c r="P118" i="2"/>
  <c r="E119" i="2"/>
  <c r="G119" i="2"/>
  <c r="M119" i="2"/>
  <c r="O119" i="2"/>
  <c r="P119" i="2"/>
  <c r="E120" i="2"/>
  <c r="G120" i="2"/>
  <c r="M120" i="2"/>
  <c r="O120" i="2"/>
  <c r="P120" i="2"/>
  <c r="E121" i="2"/>
  <c r="G121" i="2"/>
  <c r="M121" i="2"/>
  <c r="O121" i="2"/>
  <c r="P121" i="2"/>
  <c r="E122" i="2"/>
  <c r="G122" i="2"/>
  <c r="M122" i="2"/>
  <c r="O122" i="2"/>
  <c r="P122" i="2"/>
  <c r="E123" i="2"/>
  <c r="G123" i="2"/>
  <c r="M123" i="2"/>
  <c r="O123" i="2"/>
  <c r="P123" i="2"/>
  <c r="E124" i="2"/>
  <c r="G124" i="2"/>
  <c r="M124" i="2"/>
  <c r="O124" i="2"/>
  <c r="P124" i="2"/>
  <c r="E125" i="2"/>
  <c r="G125" i="2"/>
  <c r="M125" i="2"/>
  <c r="O125" i="2"/>
  <c r="P125" i="2"/>
  <c r="E126" i="2"/>
  <c r="G126" i="2"/>
  <c r="M126" i="2"/>
  <c r="O126" i="2"/>
  <c r="P126" i="2"/>
  <c r="E127" i="2"/>
  <c r="G127" i="2"/>
  <c r="M127" i="2"/>
  <c r="O127" i="2"/>
  <c r="P127" i="2"/>
  <c r="E128" i="2"/>
  <c r="G128" i="2"/>
  <c r="M128" i="2"/>
  <c r="O128" i="2"/>
  <c r="P128" i="2"/>
  <c r="E129" i="2"/>
  <c r="G129" i="2"/>
  <c r="M129" i="2"/>
  <c r="O129" i="2"/>
  <c r="P129" i="2"/>
  <c r="E130" i="2"/>
  <c r="G130" i="2"/>
  <c r="M130" i="2"/>
  <c r="O130" i="2"/>
  <c r="P130" i="2"/>
  <c r="E131" i="2"/>
  <c r="G131" i="2"/>
  <c r="M131" i="2"/>
  <c r="O131" i="2"/>
  <c r="P131" i="2"/>
  <c r="E132" i="2"/>
  <c r="G132" i="2"/>
  <c r="M132" i="2"/>
  <c r="O132" i="2"/>
  <c r="P132" i="2"/>
  <c r="E133" i="2"/>
  <c r="G133" i="2"/>
  <c r="M133" i="2"/>
  <c r="O133" i="2"/>
  <c r="P133" i="2"/>
  <c r="E134" i="2"/>
  <c r="G134" i="2"/>
  <c r="M134" i="2"/>
  <c r="O134" i="2"/>
  <c r="P134" i="2"/>
  <c r="E135" i="2"/>
  <c r="G135" i="2"/>
  <c r="M135" i="2"/>
  <c r="O135" i="2"/>
  <c r="P135" i="2"/>
  <c r="E136" i="2"/>
  <c r="G136" i="2"/>
  <c r="M136" i="2"/>
  <c r="O136" i="2"/>
  <c r="P136" i="2"/>
  <c r="E137" i="2"/>
  <c r="G137" i="2"/>
  <c r="M137" i="2"/>
  <c r="O137" i="2"/>
  <c r="P137" i="2"/>
  <c r="E138" i="2"/>
  <c r="G138" i="2"/>
  <c r="M138" i="2"/>
  <c r="O138" i="2"/>
  <c r="P138" i="2"/>
  <c r="E139" i="2"/>
  <c r="G139" i="2"/>
  <c r="M139" i="2"/>
  <c r="O139" i="2"/>
  <c r="P139" i="2"/>
  <c r="E140" i="2"/>
  <c r="G140" i="2"/>
  <c r="M140" i="2"/>
  <c r="O140" i="2"/>
  <c r="P140" i="2"/>
  <c r="E141" i="2"/>
  <c r="G141" i="2"/>
  <c r="M141" i="2"/>
  <c r="O141" i="2"/>
  <c r="P141" i="2"/>
  <c r="E142" i="2"/>
  <c r="G142" i="2"/>
  <c r="M142" i="2"/>
  <c r="O142" i="2"/>
  <c r="P142" i="2"/>
  <c r="E143" i="2"/>
  <c r="G143" i="2"/>
  <c r="M143" i="2"/>
  <c r="O143" i="2"/>
  <c r="P143" i="2"/>
  <c r="E144" i="2"/>
  <c r="G144" i="2"/>
  <c r="M144" i="2"/>
  <c r="O144" i="2"/>
  <c r="P144" i="2"/>
  <c r="E145" i="2"/>
  <c r="G145" i="2"/>
  <c r="M145" i="2"/>
  <c r="O145" i="2"/>
  <c r="P145" i="2"/>
  <c r="E146" i="2"/>
  <c r="G146" i="2"/>
  <c r="M146" i="2"/>
  <c r="O146" i="2"/>
  <c r="P146" i="2"/>
  <c r="E147" i="2"/>
  <c r="G147" i="2"/>
  <c r="M147" i="2"/>
  <c r="O147" i="2"/>
  <c r="P147" i="2"/>
  <c r="E148" i="2"/>
  <c r="G148" i="2"/>
  <c r="M148" i="2"/>
  <c r="O148" i="2"/>
  <c r="P148" i="2"/>
  <c r="E149" i="2"/>
  <c r="G149" i="2"/>
  <c r="M149" i="2"/>
  <c r="O149" i="2"/>
  <c r="P149" i="2"/>
  <c r="E150" i="2"/>
  <c r="G150" i="2"/>
  <c r="M150" i="2"/>
  <c r="O150" i="2"/>
  <c r="P150" i="2"/>
  <c r="E151" i="2"/>
  <c r="G151" i="2"/>
  <c r="M151" i="2"/>
  <c r="O151" i="2"/>
  <c r="P151" i="2"/>
  <c r="E152" i="2"/>
  <c r="G152" i="2"/>
  <c r="M152" i="2"/>
  <c r="O152" i="2"/>
  <c r="P152" i="2"/>
  <c r="E153" i="2"/>
  <c r="G153" i="2"/>
  <c r="M153" i="2"/>
  <c r="O153" i="2"/>
  <c r="P153" i="2"/>
  <c r="E154" i="2"/>
  <c r="G154" i="2"/>
  <c r="M154" i="2"/>
  <c r="O154" i="2"/>
  <c r="P154" i="2"/>
  <c r="E155" i="2"/>
  <c r="G155" i="2"/>
  <c r="M155" i="2"/>
  <c r="O155" i="2"/>
  <c r="P155" i="2"/>
  <c r="E156" i="2"/>
  <c r="G156" i="2"/>
  <c r="M156" i="2"/>
  <c r="O156" i="2"/>
  <c r="P156" i="2"/>
  <c r="E157" i="2"/>
  <c r="G157" i="2"/>
  <c r="M157" i="2"/>
  <c r="O157" i="2"/>
  <c r="P157" i="2"/>
  <c r="E158" i="2"/>
  <c r="G158" i="2"/>
  <c r="M158" i="2"/>
  <c r="O158" i="2"/>
  <c r="P158" i="2"/>
  <c r="E159" i="2"/>
  <c r="G159" i="2"/>
  <c r="M159" i="2"/>
  <c r="O159" i="2"/>
  <c r="P159" i="2"/>
  <c r="E160" i="2"/>
  <c r="G160" i="2"/>
  <c r="M160" i="2"/>
  <c r="O160" i="2"/>
  <c r="P160" i="2"/>
  <c r="E161" i="2"/>
  <c r="G161" i="2"/>
  <c r="M161" i="2"/>
  <c r="O161" i="2"/>
  <c r="P161" i="2"/>
  <c r="E162" i="2"/>
  <c r="G162" i="2"/>
  <c r="M162" i="2"/>
  <c r="O162" i="2"/>
  <c r="P162" i="2"/>
  <c r="E163" i="2"/>
  <c r="G163" i="2"/>
  <c r="M163" i="2"/>
  <c r="O163" i="2"/>
  <c r="P163" i="2"/>
  <c r="E164" i="2"/>
  <c r="G164" i="2"/>
  <c r="M164" i="2"/>
  <c r="O164" i="2"/>
  <c r="P164" i="2"/>
  <c r="E165" i="2"/>
  <c r="G165" i="2"/>
  <c r="M165" i="2"/>
  <c r="O165" i="2"/>
  <c r="P165" i="2"/>
  <c r="E166" i="2"/>
  <c r="G166" i="2"/>
  <c r="M166" i="2"/>
  <c r="O166" i="2"/>
  <c r="P166" i="2"/>
  <c r="E167" i="2"/>
  <c r="G167" i="2"/>
  <c r="M167" i="2"/>
  <c r="O167" i="2"/>
  <c r="P167" i="2"/>
  <c r="E168" i="2"/>
  <c r="G168" i="2"/>
  <c r="M168" i="2"/>
  <c r="O168" i="2"/>
  <c r="P168" i="2"/>
  <c r="E169" i="2"/>
  <c r="G169" i="2"/>
  <c r="M169" i="2"/>
  <c r="O169" i="2"/>
  <c r="P169" i="2"/>
  <c r="E170" i="2"/>
  <c r="G170" i="2"/>
  <c r="M170" i="2"/>
  <c r="O170" i="2"/>
  <c r="P170" i="2"/>
  <c r="E171" i="2"/>
  <c r="G171" i="2"/>
  <c r="M171" i="2"/>
  <c r="O171" i="2"/>
  <c r="P171" i="2"/>
  <c r="E172" i="2"/>
  <c r="G172" i="2"/>
  <c r="M172" i="2"/>
  <c r="O172" i="2"/>
  <c r="P172" i="2"/>
  <c r="E173" i="2"/>
  <c r="G173" i="2"/>
  <c r="M173" i="2"/>
  <c r="O173" i="2"/>
  <c r="P173" i="2"/>
  <c r="E174" i="2"/>
  <c r="G174" i="2"/>
  <c r="M174" i="2"/>
  <c r="O174" i="2"/>
  <c r="P174" i="2"/>
  <c r="E175" i="2"/>
  <c r="G175" i="2"/>
  <c r="M175" i="2"/>
  <c r="O175" i="2"/>
  <c r="P175" i="2"/>
  <c r="E176" i="2"/>
  <c r="G176" i="2"/>
  <c r="M176" i="2"/>
  <c r="O176" i="2"/>
  <c r="P176" i="2"/>
  <c r="E177" i="2"/>
  <c r="G177" i="2"/>
  <c r="M177" i="2"/>
  <c r="O177" i="2"/>
  <c r="P177" i="2"/>
  <c r="E178" i="2"/>
  <c r="G178" i="2"/>
  <c r="M178" i="2"/>
  <c r="O178" i="2"/>
  <c r="P178" i="2"/>
  <c r="D179" i="2"/>
  <c r="E179" i="2"/>
  <c r="G179" i="2"/>
  <c r="M179" i="2"/>
  <c r="O179" i="2"/>
  <c r="P179" i="2"/>
  <c r="E180" i="2"/>
  <c r="G180" i="2"/>
  <c r="M180" i="2"/>
  <c r="O180" i="2"/>
  <c r="P180" i="2"/>
  <c r="E181" i="2"/>
  <c r="G181" i="2"/>
  <c r="M181" i="2"/>
  <c r="O181" i="2"/>
  <c r="P181" i="2"/>
  <c r="E182" i="2"/>
  <c r="G182" i="2"/>
  <c r="M182" i="2"/>
  <c r="O182" i="2"/>
  <c r="P182" i="2"/>
  <c r="E183" i="2"/>
  <c r="G183" i="2"/>
  <c r="M183" i="2"/>
  <c r="O183" i="2"/>
  <c r="P183" i="2"/>
  <c r="E184" i="2"/>
  <c r="G184" i="2"/>
  <c r="M184" i="2"/>
  <c r="O184" i="2"/>
  <c r="P184" i="2"/>
  <c r="E185" i="2"/>
  <c r="G185" i="2"/>
  <c r="M185" i="2"/>
  <c r="O185" i="2"/>
  <c r="P185" i="2"/>
  <c r="E186" i="2"/>
  <c r="G186" i="2"/>
  <c r="M186" i="2"/>
  <c r="O186" i="2"/>
  <c r="P186" i="2"/>
  <c r="E187" i="2"/>
  <c r="G187" i="2"/>
  <c r="M187" i="2"/>
  <c r="O187" i="2"/>
  <c r="P187" i="2"/>
  <c r="E188" i="2"/>
  <c r="G188" i="2"/>
  <c r="M188" i="2"/>
  <c r="O188" i="2"/>
  <c r="P188" i="2"/>
  <c r="E189" i="2"/>
  <c r="G189" i="2"/>
  <c r="M189" i="2"/>
  <c r="O189" i="2"/>
  <c r="P189" i="2"/>
  <c r="E190" i="2"/>
  <c r="G190" i="2"/>
  <c r="M190" i="2"/>
  <c r="O190" i="2"/>
  <c r="P190" i="2"/>
  <c r="E191" i="2"/>
  <c r="G191" i="2"/>
  <c r="M191" i="2"/>
  <c r="O191" i="2"/>
  <c r="P191" i="2"/>
  <c r="E192" i="2"/>
  <c r="G192" i="2"/>
  <c r="M192" i="2"/>
  <c r="O192" i="2"/>
  <c r="P192" i="2"/>
  <c r="E193" i="2"/>
  <c r="G193" i="2"/>
  <c r="M193" i="2"/>
  <c r="O193" i="2"/>
  <c r="P193" i="2"/>
  <c r="E194" i="2"/>
  <c r="G194" i="2"/>
  <c r="M194" i="2"/>
  <c r="O194" i="2"/>
  <c r="P194" i="2"/>
  <c r="E195" i="2"/>
  <c r="G195" i="2"/>
  <c r="M195" i="2"/>
  <c r="O195" i="2"/>
  <c r="P195" i="2"/>
  <c r="E196" i="2"/>
  <c r="G196" i="2"/>
  <c r="M196" i="2"/>
  <c r="O196" i="2"/>
  <c r="P196" i="2"/>
  <c r="E197" i="2"/>
  <c r="G197" i="2"/>
  <c r="M197" i="2"/>
  <c r="O197" i="2"/>
  <c r="P197" i="2"/>
  <c r="E198" i="2"/>
  <c r="G198" i="2"/>
  <c r="M198" i="2"/>
  <c r="O198" i="2"/>
  <c r="P198" i="2"/>
  <c r="E199" i="2"/>
  <c r="G199" i="2"/>
  <c r="M199" i="2"/>
  <c r="O199" i="2"/>
  <c r="P199" i="2"/>
  <c r="E200" i="2"/>
  <c r="G200" i="2"/>
  <c r="M200" i="2"/>
  <c r="O200" i="2"/>
  <c r="P200" i="2"/>
  <c r="E201" i="2"/>
  <c r="G201" i="2"/>
  <c r="M201" i="2"/>
  <c r="O201" i="2"/>
  <c r="P201" i="2"/>
  <c r="E202" i="2"/>
  <c r="G202" i="2"/>
  <c r="M202" i="2"/>
  <c r="O202" i="2"/>
  <c r="P202" i="2"/>
  <c r="E203" i="2"/>
  <c r="G203" i="2"/>
  <c r="M203" i="2"/>
  <c r="O203" i="2"/>
  <c r="P203" i="2"/>
  <c r="E204" i="2"/>
  <c r="G204" i="2"/>
  <c r="M204" i="2"/>
  <c r="O204" i="2"/>
  <c r="P204" i="2"/>
  <c r="E205" i="2"/>
  <c r="G205" i="2"/>
  <c r="M205" i="2"/>
  <c r="O205" i="2"/>
  <c r="P205" i="2"/>
  <c r="E206" i="2"/>
  <c r="G206" i="2"/>
  <c r="M206" i="2"/>
  <c r="O206" i="2"/>
  <c r="P206" i="2"/>
  <c r="E207" i="2"/>
  <c r="G207" i="2"/>
  <c r="M207" i="2"/>
  <c r="O207" i="2"/>
  <c r="P207" i="2"/>
  <c r="E208" i="2"/>
  <c r="G208" i="2"/>
  <c r="M208" i="2"/>
  <c r="O208" i="2"/>
  <c r="P208" i="2"/>
  <c r="E209" i="2"/>
  <c r="G209" i="2"/>
  <c r="M209" i="2"/>
  <c r="O209" i="2"/>
  <c r="P209" i="2"/>
  <c r="E210" i="2"/>
  <c r="G210" i="2"/>
  <c r="M210" i="2"/>
  <c r="O210" i="2"/>
  <c r="P210" i="2"/>
  <c r="E211" i="2"/>
  <c r="G211" i="2"/>
  <c r="M211" i="2"/>
  <c r="O211" i="2"/>
  <c r="P211" i="2"/>
  <c r="E212" i="2"/>
  <c r="G212" i="2"/>
  <c r="M212" i="2"/>
  <c r="O212" i="2"/>
  <c r="P212" i="2"/>
  <c r="E213" i="2"/>
  <c r="G213" i="2"/>
  <c r="M213" i="2"/>
  <c r="O213" i="2"/>
  <c r="P213" i="2"/>
  <c r="E214" i="2"/>
  <c r="G214" i="2"/>
  <c r="M214" i="2"/>
  <c r="O214" i="2"/>
  <c r="P214" i="2"/>
  <c r="D215" i="2"/>
  <c r="E215" i="2"/>
  <c r="G215" i="2"/>
  <c r="M215" i="2"/>
  <c r="O215" i="2"/>
  <c r="P215" i="2"/>
  <c r="D216" i="2"/>
  <c r="E216" i="2"/>
  <c r="G216" i="2"/>
  <c r="M216" i="2"/>
  <c r="O216" i="2"/>
  <c r="P216" i="2"/>
  <c r="D217" i="2"/>
  <c r="E217" i="2"/>
  <c r="G217" i="2"/>
  <c r="M217" i="2"/>
  <c r="O217" i="2"/>
  <c r="P217" i="2"/>
  <c r="D218" i="2"/>
  <c r="E218" i="2"/>
  <c r="G218" i="2"/>
  <c r="M218" i="2"/>
  <c r="O218" i="2"/>
  <c r="P218" i="2"/>
  <c r="D219" i="2"/>
  <c r="E219" i="2"/>
  <c r="G219" i="2"/>
  <c r="M219" i="2"/>
  <c r="O219" i="2"/>
  <c r="P219" i="2"/>
  <c r="E220" i="2"/>
  <c r="G220" i="2"/>
  <c r="M220" i="2"/>
  <c r="O220" i="2"/>
  <c r="P220" i="2"/>
  <c r="E221" i="2"/>
  <c r="G221" i="2"/>
  <c r="M221" i="2"/>
  <c r="O221" i="2"/>
  <c r="P221" i="2"/>
  <c r="E222" i="2"/>
  <c r="G222" i="2"/>
  <c r="M222" i="2"/>
  <c r="O222" i="2"/>
  <c r="P222" i="2"/>
  <c r="E223" i="2"/>
  <c r="G223" i="2"/>
  <c r="M223" i="2"/>
  <c r="O223" i="2"/>
  <c r="P223" i="2"/>
  <c r="E224" i="2"/>
  <c r="G224" i="2"/>
  <c r="M224" i="2"/>
  <c r="O224" i="2"/>
  <c r="P224" i="2"/>
  <c r="E225" i="2"/>
  <c r="G225" i="2"/>
  <c r="M225" i="2"/>
  <c r="O225" i="2"/>
  <c r="P225" i="2"/>
  <c r="E226" i="2"/>
  <c r="G226" i="2"/>
  <c r="M226" i="2"/>
  <c r="O226" i="2"/>
  <c r="P226" i="2"/>
  <c r="E227" i="2"/>
  <c r="G227" i="2"/>
  <c r="M227" i="2"/>
  <c r="O227" i="2"/>
  <c r="P227" i="2"/>
  <c r="E228" i="2"/>
  <c r="G228" i="2"/>
  <c r="M228" i="2"/>
  <c r="O228" i="2"/>
  <c r="P228" i="2"/>
  <c r="E229" i="2"/>
  <c r="G229" i="2"/>
  <c r="M229" i="2"/>
  <c r="O229" i="2"/>
  <c r="P229" i="2"/>
  <c r="E230" i="2"/>
  <c r="G230" i="2"/>
  <c r="M230" i="2"/>
  <c r="O230" i="2"/>
  <c r="P230" i="2"/>
  <c r="E231" i="2"/>
  <c r="G231" i="2"/>
  <c r="M231" i="2"/>
  <c r="O231" i="2"/>
  <c r="P231" i="2"/>
  <c r="E232" i="2"/>
  <c r="G232" i="2"/>
  <c r="M232" i="2"/>
  <c r="O232" i="2"/>
  <c r="P232" i="2"/>
  <c r="E233" i="2"/>
  <c r="G233" i="2"/>
  <c r="M233" i="2"/>
  <c r="O233" i="2"/>
  <c r="P233" i="2"/>
  <c r="E234" i="2"/>
  <c r="G234" i="2"/>
  <c r="M234" i="2"/>
  <c r="O234" i="2"/>
  <c r="P234" i="2"/>
  <c r="E235" i="2"/>
  <c r="G235" i="2"/>
  <c r="M235" i="2"/>
  <c r="O235" i="2"/>
  <c r="P235" i="2"/>
  <c r="D236" i="2"/>
  <c r="E236" i="2"/>
  <c r="G236" i="2"/>
  <c r="M236" i="2"/>
  <c r="O236" i="2"/>
  <c r="P236" i="2"/>
  <c r="D237" i="2"/>
  <c r="E237" i="2"/>
  <c r="G237" i="2"/>
  <c r="M237" i="2"/>
  <c r="O237" i="2"/>
  <c r="P237" i="2"/>
  <c r="E238" i="2"/>
  <c r="G238" i="2"/>
  <c r="M238" i="2"/>
  <c r="O238" i="2"/>
  <c r="P238" i="2"/>
  <c r="E239" i="2"/>
  <c r="G239" i="2"/>
  <c r="M239" i="2"/>
  <c r="O239" i="2"/>
  <c r="P239" i="2"/>
  <c r="D240" i="2"/>
  <c r="E240" i="2"/>
  <c r="G240" i="2"/>
  <c r="M240" i="2"/>
  <c r="O240" i="2"/>
  <c r="P240" i="2"/>
  <c r="D241" i="2"/>
  <c r="E241" i="2"/>
  <c r="G241" i="2"/>
  <c r="M241" i="2"/>
  <c r="O241" i="2"/>
  <c r="P241" i="2"/>
  <c r="E242" i="2"/>
  <c r="G242" i="2"/>
  <c r="M242" i="2"/>
  <c r="O242" i="2"/>
  <c r="P242" i="2"/>
  <c r="E243" i="2"/>
  <c r="G243" i="2"/>
  <c r="M243" i="2"/>
  <c r="O243" i="2"/>
  <c r="P243" i="2"/>
  <c r="E244" i="2"/>
  <c r="G244" i="2"/>
  <c r="M244" i="2"/>
  <c r="O244" i="2"/>
  <c r="P244" i="2"/>
  <c r="G245" i="2"/>
  <c r="M245" i="2"/>
  <c r="O245" i="2"/>
  <c r="P245" i="2"/>
  <c r="G246" i="2"/>
  <c r="M246" i="2"/>
  <c r="O246" i="2"/>
  <c r="P246" i="2"/>
  <c r="G247" i="2"/>
  <c r="M247" i="2"/>
  <c r="O247" i="2"/>
  <c r="P247" i="2"/>
  <c r="G248" i="2"/>
  <c r="M248" i="2"/>
  <c r="O248" i="2"/>
  <c r="P248" i="2"/>
  <c r="G249" i="2"/>
  <c r="M249" i="2"/>
  <c r="O249" i="2"/>
  <c r="P249" i="2"/>
  <c r="G250" i="2"/>
  <c r="M250" i="2"/>
  <c r="O250" i="2"/>
  <c r="P250" i="2"/>
  <c r="G251" i="2"/>
  <c r="M251" i="2"/>
  <c r="O251" i="2"/>
  <c r="P251" i="2"/>
  <c r="G252" i="2"/>
  <c r="M252" i="2"/>
  <c r="O252" i="2"/>
  <c r="P252" i="2"/>
  <c r="G253" i="2"/>
  <c r="M253" i="2"/>
  <c r="O253" i="2"/>
  <c r="P253" i="2"/>
  <c r="G254" i="2"/>
  <c r="M254" i="2"/>
  <c r="O254" i="2"/>
  <c r="P254" i="2"/>
  <c r="G255" i="2"/>
  <c r="M255" i="2"/>
  <c r="O255" i="2"/>
  <c r="P255" i="2"/>
  <c r="G256" i="2"/>
  <c r="M256" i="2"/>
  <c r="O256" i="2"/>
  <c r="P256" i="2"/>
  <c r="G257" i="2"/>
  <c r="M257" i="2"/>
  <c r="O257" i="2"/>
  <c r="P257" i="2"/>
  <c r="G258" i="2"/>
  <c r="M258" i="2"/>
  <c r="O258" i="2"/>
  <c r="P258" i="2"/>
  <c r="G259" i="2"/>
  <c r="M259" i="2"/>
  <c r="O259" i="2"/>
  <c r="P259" i="2"/>
  <c r="G260" i="2"/>
  <c r="M260" i="2"/>
  <c r="O260" i="2"/>
  <c r="P260" i="2"/>
  <c r="G261" i="2"/>
  <c r="M261" i="2"/>
  <c r="O261" i="2"/>
  <c r="P261" i="2"/>
  <c r="G262" i="2"/>
  <c r="M262" i="2"/>
  <c r="O262" i="2"/>
  <c r="P262" i="2"/>
  <c r="G263" i="2"/>
  <c r="M263" i="2"/>
  <c r="O263" i="2"/>
  <c r="P263" i="2"/>
  <c r="G264" i="2"/>
  <c r="M264" i="2"/>
  <c r="O264" i="2"/>
  <c r="P264" i="2"/>
  <c r="G265" i="2"/>
  <c r="M265" i="2"/>
  <c r="O265" i="2"/>
  <c r="P265" i="2"/>
  <c r="G266" i="2"/>
  <c r="M266" i="2"/>
  <c r="O266" i="2"/>
  <c r="P266" i="2"/>
  <c r="G267" i="2"/>
  <c r="M267" i="2"/>
  <c r="O267" i="2"/>
  <c r="P267" i="2"/>
  <c r="G268" i="2"/>
  <c r="M268" i="2"/>
  <c r="O268" i="2"/>
  <c r="P268" i="2"/>
  <c r="G269" i="2"/>
  <c r="M269" i="2"/>
  <c r="O269" i="2"/>
  <c r="P269" i="2"/>
  <c r="G270" i="2"/>
  <c r="M270" i="2"/>
  <c r="O270" i="2"/>
  <c r="P270" i="2"/>
  <c r="G271" i="2"/>
  <c r="M271" i="2"/>
  <c r="O271" i="2"/>
  <c r="P271" i="2"/>
  <c r="G272" i="2"/>
  <c r="M272" i="2"/>
  <c r="O272" i="2"/>
  <c r="P272" i="2"/>
  <c r="G273" i="2"/>
  <c r="M273" i="2"/>
  <c r="O273" i="2"/>
  <c r="P273" i="2"/>
  <c r="G274" i="2"/>
  <c r="M274" i="2"/>
  <c r="O274" i="2"/>
  <c r="P274" i="2"/>
  <c r="G275" i="2"/>
  <c r="M275" i="2"/>
  <c r="O275" i="2"/>
  <c r="P275" i="2"/>
  <c r="G276" i="2"/>
  <c r="M276" i="2"/>
  <c r="O276" i="2"/>
  <c r="P276" i="2"/>
  <c r="G277" i="2"/>
  <c r="M277" i="2"/>
  <c r="O277" i="2"/>
  <c r="P277" i="2"/>
  <c r="G278" i="2"/>
  <c r="M278" i="2"/>
  <c r="O278" i="2"/>
  <c r="P278" i="2"/>
  <c r="G279" i="2"/>
  <c r="M279" i="2"/>
  <c r="O279" i="2"/>
  <c r="P279" i="2"/>
  <c r="G280" i="2"/>
  <c r="M280" i="2"/>
  <c r="O280" i="2"/>
  <c r="P280" i="2"/>
  <c r="G281" i="2"/>
  <c r="M281" i="2"/>
  <c r="O281" i="2"/>
  <c r="P281" i="2"/>
  <c r="G282" i="2"/>
  <c r="M282" i="2"/>
  <c r="O282" i="2"/>
  <c r="P282" i="2"/>
  <c r="G283" i="2"/>
  <c r="M283" i="2"/>
  <c r="O283" i="2"/>
  <c r="P283" i="2"/>
  <c r="G284" i="2"/>
  <c r="M284" i="2"/>
  <c r="O284" i="2"/>
  <c r="P284" i="2"/>
  <c r="G285" i="2"/>
  <c r="M285" i="2"/>
  <c r="O285" i="2"/>
  <c r="P285" i="2"/>
  <c r="G286" i="2"/>
  <c r="M286" i="2"/>
  <c r="O286" i="2"/>
  <c r="P286" i="2"/>
  <c r="G287" i="2"/>
  <c r="M287" i="2"/>
  <c r="O287" i="2"/>
  <c r="P287" i="2"/>
  <c r="G288" i="2"/>
  <c r="M288" i="2"/>
  <c r="O288" i="2"/>
  <c r="P288" i="2"/>
  <c r="G289" i="2"/>
  <c r="M289" i="2"/>
  <c r="O289" i="2"/>
  <c r="P289" i="2"/>
  <c r="G290" i="2"/>
  <c r="M290" i="2"/>
  <c r="O290" i="2"/>
  <c r="P290" i="2"/>
  <c r="G291" i="2"/>
  <c r="M291" i="2"/>
  <c r="O291" i="2"/>
  <c r="P291" i="2"/>
  <c r="G292" i="2"/>
  <c r="M292" i="2"/>
  <c r="O292" i="2"/>
  <c r="P292" i="2"/>
  <c r="G293" i="2"/>
  <c r="M293" i="2"/>
  <c r="O293" i="2"/>
  <c r="P293" i="2"/>
  <c r="G294" i="2"/>
  <c r="M294" i="2"/>
  <c r="O294" i="2"/>
  <c r="P294" i="2"/>
  <c r="G295" i="2"/>
  <c r="M295" i="2"/>
  <c r="O295" i="2"/>
  <c r="P295" i="2"/>
  <c r="G296" i="2"/>
  <c r="M296" i="2"/>
  <c r="O296" i="2"/>
  <c r="P296" i="2"/>
  <c r="G297" i="2"/>
  <c r="M297" i="2"/>
  <c r="O297" i="2"/>
  <c r="P297" i="2"/>
  <c r="G298" i="2"/>
  <c r="M298" i="2"/>
  <c r="O298" i="2"/>
  <c r="P298" i="2"/>
  <c r="G299" i="2"/>
  <c r="M299" i="2"/>
  <c r="O299" i="2"/>
  <c r="P299" i="2"/>
  <c r="G300" i="2"/>
  <c r="M300" i="2"/>
  <c r="O300" i="2"/>
  <c r="P300" i="2"/>
  <c r="G301" i="2"/>
  <c r="M301" i="2"/>
  <c r="O301" i="2"/>
  <c r="P301" i="2"/>
  <c r="G302" i="2"/>
  <c r="M302" i="2"/>
  <c r="O302" i="2"/>
  <c r="P302" i="2"/>
  <c r="G303" i="2"/>
  <c r="M303" i="2"/>
  <c r="O303" i="2"/>
  <c r="P303" i="2"/>
  <c r="G304" i="2"/>
  <c r="M304" i="2"/>
  <c r="O304" i="2"/>
  <c r="P304" i="2"/>
  <c r="G305" i="2"/>
  <c r="M305" i="2"/>
  <c r="O305" i="2"/>
  <c r="P305" i="2"/>
  <c r="G306" i="2"/>
  <c r="M306" i="2"/>
  <c r="O306" i="2"/>
  <c r="P306" i="2"/>
  <c r="G307" i="2"/>
  <c r="M307" i="2"/>
  <c r="O307" i="2"/>
  <c r="P307" i="2"/>
  <c r="G308" i="2"/>
  <c r="M308" i="2"/>
  <c r="O308" i="2"/>
  <c r="P308" i="2"/>
  <c r="G309" i="2"/>
  <c r="M309" i="2"/>
  <c r="O309" i="2"/>
  <c r="P309" i="2"/>
  <c r="G310" i="2"/>
  <c r="M310" i="2"/>
  <c r="O310" i="2"/>
  <c r="P310" i="2"/>
  <c r="G311" i="2"/>
  <c r="M311" i="2"/>
  <c r="O311" i="2"/>
  <c r="P311" i="2"/>
  <c r="G312" i="2"/>
  <c r="M312" i="2"/>
  <c r="O312" i="2"/>
  <c r="P312" i="2"/>
  <c r="G313" i="2"/>
  <c r="M313" i="2"/>
  <c r="O313" i="2"/>
  <c r="P313" i="2"/>
  <c r="G314" i="2"/>
  <c r="M314" i="2"/>
  <c r="O314" i="2"/>
  <c r="P314" i="2"/>
  <c r="G315" i="2"/>
  <c r="M315" i="2"/>
  <c r="O315" i="2"/>
  <c r="P315" i="2"/>
  <c r="G316" i="2"/>
  <c r="M316" i="2"/>
  <c r="O316" i="2"/>
  <c r="P316" i="2"/>
  <c r="G317" i="2"/>
  <c r="M317" i="2"/>
  <c r="O317" i="2"/>
  <c r="P317" i="2"/>
  <c r="G318" i="2"/>
  <c r="M318" i="2"/>
  <c r="O318" i="2"/>
  <c r="P318" i="2"/>
  <c r="G319" i="2"/>
  <c r="M319" i="2"/>
  <c r="O319" i="2"/>
  <c r="P319" i="2"/>
  <c r="G320" i="2"/>
  <c r="M320" i="2"/>
  <c r="O320" i="2"/>
  <c r="P320" i="2"/>
  <c r="G321" i="2"/>
  <c r="M321" i="2"/>
  <c r="O321" i="2"/>
  <c r="P321" i="2"/>
  <c r="G322" i="2"/>
  <c r="M322" i="2"/>
  <c r="O322" i="2"/>
  <c r="P322" i="2"/>
  <c r="G323" i="2"/>
  <c r="M323" i="2"/>
  <c r="O323" i="2"/>
  <c r="P323" i="2"/>
  <c r="G324" i="2"/>
  <c r="M324" i="2"/>
  <c r="O324" i="2"/>
  <c r="P324" i="2"/>
  <c r="G325" i="2"/>
  <c r="M325" i="2"/>
  <c r="O325" i="2"/>
  <c r="P325" i="2"/>
  <c r="G326" i="2"/>
  <c r="M326" i="2"/>
  <c r="O326" i="2"/>
  <c r="P326" i="2"/>
  <c r="G327" i="2"/>
  <c r="M327" i="2"/>
  <c r="O327" i="2"/>
  <c r="P327" i="2"/>
  <c r="G328" i="2"/>
  <c r="M328" i="2"/>
  <c r="O328" i="2"/>
  <c r="P328" i="2"/>
  <c r="G329" i="2"/>
  <c r="M329" i="2"/>
  <c r="O329" i="2"/>
  <c r="P329" i="2"/>
  <c r="G330" i="2"/>
  <c r="M330" i="2"/>
  <c r="O330" i="2"/>
  <c r="P330" i="2"/>
  <c r="G331" i="2"/>
  <c r="M331" i="2"/>
  <c r="O331" i="2"/>
  <c r="P331" i="2"/>
  <c r="G332" i="2"/>
  <c r="M332" i="2"/>
  <c r="O332" i="2"/>
  <c r="P332" i="2"/>
  <c r="G333" i="2"/>
  <c r="M333" i="2"/>
  <c r="O333" i="2"/>
  <c r="P333" i="2"/>
  <c r="G334" i="2"/>
  <c r="M334" i="2"/>
  <c r="O334" i="2"/>
  <c r="P334" i="2"/>
  <c r="G335" i="2"/>
  <c r="M335" i="2"/>
  <c r="O335" i="2"/>
  <c r="P335" i="2"/>
  <c r="G336" i="2"/>
  <c r="M336" i="2"/>
  <c r="O336" i="2"/>
  <c r="P336" i="2"/>
  <c r="G337" i="2"/>
  <c r="M337" i="2"/>
  <c r="O337" i="2"/>
  <c r="P337" i="2"/>
  <c r="G338" i="2"/>
  <c r="M338" i="2"/>
  <c r="O338" i="2"/>
  <c r="P338" i="2"/>
  <c r="G339" i="2"/>
  <c r="M339" i="2"/>
  <c r="O339" i="2"/>
  <c r="P339" i="2"/>
  <c r="G340" i="2"/>
  <c r="M340" i="2"/>
  <c r="O340" i="2"/>
  <c r="P340" i="2"/>
  <c r="G341" i="2"/>
  <c r="M341" i="2"/>
  <c r="O341" i="2"/>
  <c r="P341" i="2"/>
  <c r="G342" i="2"/>
  <c r="M342" i="2"/>
  <c r="O342" i="2"/>
  <c r="P342" i="2"/>
  <c r="G343" i="2"/>
  <c r="M343" i="2"/>
  <c r="O343" i="2"/>
  <c r="P343" i="2"/>
  <c r="G344" i="2"/>
  <c r="M344" i="2"/>
  <c r="O344" i="2"/>
  <c r="P344" i="2"/>
  <c r="G345" i="2"/>
  <c r="M345" i="2"/>
  <c r="O345" i="2"/>
  <c r="P345" i="2"/>
  <c r="E346" i="2"/>
  <c r="G346" i="2"/>
  <c r="M346" i="2"/>
  <c r="O346" i="2"/>
  <c r="P346" i="2"/>
  <c r="G347" i="2"/>
  <c r="M347" i="2"/>
  <c r="O347" i="2"/>
  <c r="P347" i="2"/>
  <c r="G348" i="2"/>
  <c r="M348" i="2"/>
  <c r="O348" i="2"/>
  <c r="P348" i="2"/>
  <c r="G349" i="2"/>
  <c r="M349" i="2"/>
  <c r="O349" i="2"/>
  <c r="P349" i="2"/>
  <c r="G350" i="2"/>
  <c r="M350" i="2"/>
  <c r="O350" i="2"/>
  <c r="P350" i="2"/>
  <c r="G351" i="2"/>
  <c r="M351" i="2"/>
  <c r="O351" i="2"/>
  <c r="P351" i="2"/>
  <c r="G352" i="2"/>
  <c r="M352" i="2"/>
  <c r="O352" i="2"/>
  <c r="P352" i="2"/>
  <c r="G353" i="2"/>
  <c r="M353" i="2"/>
  <c r="O353" i="2"/>
  <c r="P353" i="2"/>
  <c r="G354" i="2"/>
  <c r="M354" i="2"/>
  <c r="O354" i="2"/>
  <c r="P354" i="2"/>
  <c r="G355" i="2"/>
  <c r="M355" i="2"/>
  <c r="O355" i="2"/>
  <c r="P355" i="2"/>
  <c r="G356" i="2"/>
  <c r="M356" i="2"/>
  <c r="O356" i="2"/>
  <c r="P356" i="2"/>
  <c r="G357" i="2"/>
  <c r="M357" i="2"/>
  <c r="O357" i="2"/>
  <c r="P357" i="2"/>
  <c r="G358" i="2"/>
  <c r="M358" i="2"/>
  <c r="O358" i="2"/>
  <c r="P358" i="2"/>
  <c r="G359" i="2"/>
  <c r="M359" i="2"/>
  <c r="O359" i="2"/>
  <c r="P359" i="2"/>
  <c r="G360" i="2"/>
  <c r="M360" i="2"/>
  <c r="O360" i="2"/>
  <c r="P360" i="2"/>
  <c r="G361" i="2"/>
  <c r="M361" i="2"/>
  <c r="O361" i="2"/>
  <c r="P361" i="2"/>
  <c r="G362" i="2"/>
  <c r="M362" i="2"/>
  <c r="O362" i="2"/>
  <c r="P362" i="2"/>
  <c r="G363" i="2"/>
  <c r="M363" i="2"/>
  <c r="O363" i="2"/>
  <c r="P363" i="2"/>
  <c r="G364" i="2"/>
  <c r="M364" i="2"/>
  <c r="O364" i="2"/>
  <c r="P364" i="2"/>
  <c r="G365" i="2"/>
  <c r="M365" i="2"/>
  <c r="O365" i="2"/>
  <c r="P365" i="2"/>
  <c r="G366" i="2"/>
  <c r="M366" i="2"/>
  <c r="O366" i="2"/>
  <c r="P366" i="2"/>
  <c r="G367" i="2"/>
  <c r="M367" i="2"/>
  <c r="O367" i="2"/>
  <c r="P367" i="2"/>
  <c r="G368" i="2"/>
  <c r="M368" i="2"/>
  <c r="O368" i="2"/>
  <c r="P368" i="2"/>
  <c r="G369" i="2"/>
  <c r="M369" i="2"/>
  <c r="O369" i="2"/>
  <c r="P369" i="2"/>
  <c r="G370" i="2"/>
  <c r="M370" i="2"/>
  <c r="O370" i="2"/>
  <c r="P370" i="2"/>
  <c r="G371" i="2"/>
  <c r="M371" i="2"/>
  <c r="O371" i="2"/>
  <c r="P371" i="2"/>
  <c r="G372" i="2"/>
  <c r="M372" i="2"/>
  <c r="O372" i="2"/>
  <c r="P372" i="2"/>
  <c r="G373" i="2"/>
  <c r="M373" i="2"/>
  <c r="O373" i="2"/>
  <c r="P373" i="2"/>
  <c r="G374" i="2"/>
  <c r="M374" i="2"/>
  <c r="O374" i="2"/>
  <c r="P374" i="2"/>
  <c r="G375" i="2"/>
  <c r="M375" i="2"/>
  <c r="O375" i="2"/>
  <c r="P375" i="2"/>
  <c r="G376" i="2"/>
  <c r="M376" i="2"/>
  <c r="O376" i="2"/>
  <c r="P376" i="2"/>
  <c r="G377" i="2"/>
  <c r="M377" i="2"/>
  <c r="O377" i="2"/>
  <c r="P377" i="2"/>
  <c r="G378" i="2"/>
  <c r="M378" i="2"/>
  <c r="O378" i="2"/>
  <c r="P378" i="2"/>
  <c r="G379" i="2"/>
  <c r="M379" i="2"/>
  <c r="O379" i="2"/>
  <c r="P379" i="2"/>
  <c r="G380" i="2"/>
  <c r="M380" i="2"/>
  <c r="O380" i="2"/>
  <c r="P380" i="2"/>
  <c r="G381" i="2"/>
  <c r="M381" i="2"/>
  <c r="O381" i="2"/>
  <c r="P381" i="2"/>
  <c r="G382" i="2"/>
  <c r="M382" i="2"/>
  <c r="O382" i="2"/>
  <c r="P382" i="2"/>
  <c r="G383" i="2"/>
  <c r="M383" i="2"/>
  <c r="O383" i="2"/>
  <c r="P383" i="2"/>
  <c r="G384" i="2"/>
  <c r="M384" i="2"/>
  <c r="O384" i="2"/>
  <c r="P384" i="2"/>
  <c r="G385" i="2"/>
  <c r="M385" i="2"/>
  <c r="O385" i="2"/>
  <c r="P385" i="2"/>
  <c r="E386" i="2"/>
  <c r="G386" i="2"/>
  <c r="M386" i="2"/>
  <c r="O386" i="2"/>
  <c r="P386" i="2"/>
  <c r="E387" i="2"/>
  <c r="G387" i="2"/>
  <c r="M387" i="2"/>
  <c r="O387" i="2"/>
  <c r="P387" i="2"/>
  <c r="E388" i="2"/>
  <c r="G388" i="2"/>
  <c r="M388" i="2"/>
  <c r="O388" i="2"/>
  <c r="P388" i="2"/>
  <c r="G389" i="2"/>
  <c r="M389" i="2"/>
  <c r="O389" i="2"/>
  <c r="P389" i="2"/>
  <c r="G390" i="2"/>
  <c r="M390" i="2"/>
  <c r="O390" i="2"/>
  <c r="P390" i="2"/>
  <c r="G391" i="2"/>
  <c r="M391" i="2"/>
  <c r="O391" i="2"/>
  <c r="P391" i="2"/>
  <c r="G392" i="2"/>
  <c r="M392" i="2"/>
  <c r="O392" i="2"/>
  <c r="P392" i="2"/>
  <c r="G393" i="2"/>
  <c r="M393" i="2"/>
  <c r="O393" i="2"/>
  <c r="P393" i="2"/>
  <c r="G394" i="2"/>
  <c r="M394" i="2"/>
  <c r="O394" i="2"/>
  <c r="P394" i="2"/>
  <c r="G395" i="2"/>
  <c r="M395" i="2"/>
  <c r="O395" i="2"/>
  <c r="P395" i="2"/>
  <c r="G396" i="2"/>
  <c r="M396" i="2"/>
  <c r="O396" i="2"/>
  <c r="P396" i="2"/>
  <c r="G397" i="2"/>
  <c r="M397" i="2"/>
  <c r="O397" i="2"/>
  <c r="P397" i="2"/>
  <c r="G398" i="2"/>
  <c r="M398" i="2"/>
  <c r="O398" i="2"/>
  <c r="P398" i="2"/>
  <c r="G399" i="2"/>
  <c r="M399" i="2"/>
  <c r="O399" i="2"/>
  <c r="P399" i="2"/>
  <c r="G400" i="2"/>
  <c r="M400" i="2"/>
  <c r="O400" i="2"/>
  <c r="P400" i="2"/>
  <c r="G401" i="2"/>
  <c r="M401" i="2"/>
  <c r="O401" i="2"/>
  <c r="P401" i="2"/>
  <c r="G402" i="2"/>
  <c r="M402" i="2"/>
  <c r="O402" i="2"/>
  <c r="P402" i="2"/>
  <c r="G403" i="2"/>
  <c r="M403" i="2"/>
  <c r="O403" i="2"/>
  <c r="P403" i="2"/>
  <c r="G404" i="2"/>
  <c r="M404" i="2"/>
  <c r="O404" i="2"/>
  <c r="P404" i="2"/>
  <c r="G405" i="2"/>
  <c r="M405" i="2"/>
  <c r="O405" i="2"/>
  <c r="P405" i="2"/>
  <c r="G406" i="2"/>
  <c r="M406" i="2"/>
  <c r="O406" i="2"/>
  <c r="P406" i="2"/>
  <c r="G407" i="2"/>
  <c r="M407" i="2"/>
  <c r="O407" i="2"/>
  <c r="P407" i="2"/>
  <c r="G408" i="2"/>
  <c r="M408" i="2"/>
  <c r="O408" i="2"/>
  <c r="P408" i="2"/>
  <c r="G409" i="2"/>
  <c r="M409" i="2"/>
  <c r="O409" i="2"/>
  <c r="P409" i="2"/>
  <c r="G410" i="2"/>
  <c r="M410" i="2"/>
  <c r="O410" i="2"/>
  <c r="P410" i="2"/>
  <c r="G411" i="2"/>
  <c r="M411" i="2"/>
  <c r="O411" i="2"/>
  <c r="P411" i="2"/>
  <c r="G412" i="2"/>
  <c r="M412" i="2"/>
  <c r="O412" i="2"/>
  <c r="P412" i="2"/>
  <c r="G413" i="2"/>
  <c r="M413" i="2"/>
  <c r="O413" i="2"/>
  <c r="P413" i="2"/>
  <c r="G414" i="2"/>
  <c r="M414" i="2"/>
  <c r="O414" i="2"/>
  <c r="P414" i="2"/>
  <c r="G415" i="2"/>
  <c r="M415" i="2"/>
  <c r="O415" i="2"/>
  <c r="P415" i="2"/>
  <c r="G416" i="2"/>
  <c r="M416" i="2"/>
  <c r="O416" i="2"/>
  <c r="P416" i="2"/>
  <c r="G417" i="2"/>
  <c r="M417" i="2"/>
  <c r="O417" i="2"/>
  <c r="P417" i="2"/>
  <c r="G418" i="2"/>
  <c r="M418" i="2"/>
  <c r="O418" i="2"/>
  <c r="P418" i="2"/>
  <c r="G419" i="2"/>
  <c r="M419" i="2"/>
  <c r="O419" i="2"/>
  <c r="P419" i="2"/>
  <c r="G420" i="2"/>
  <c r="M420" i="2"/>
  <c r="O420" i="2"/>
  <c r="P420" i="2"/>
  <c r="G421" i="2"/>
  <c r="M421" i="2"/>
  <c r="O421" i="2"/>
  <c r="P421" i="2"/>
  <c r="G422" i="2"/>
  <c r="M422" i="2"/>
  <c r="O422" i="2"/>
  <c r="P422" i="2"/>
  <c r="G423" i="2"/>
  <c r="M423" i="2"/>
  <c r="O423" i="2"/>
  <c r="P423" i="2"/>
  <c r="G424" i="2"/>
  <c r="M424" i="2"/>
  <c r="O424" i="2"/>
  <c r="P424" i="2"/>
  <c r="G425" i="2"/>
  <c r="M425" i="2"/>
  <c r="O425" i="2"/>
  <c r="P425" i="2"/>
  <c r="G426" i="2"/>
  <c r="M426" i="2"/>
  <c r="O426" i="2"/>
  <c r="P426" i="2"/>
  <c r="G427" i="2"/>
  <c r="M427" i="2"/>
  <c r="O427" i="2"/>
  <c r="P427" i="2"/>
  <c r="G428" i="2"/>
  <c r="M428" i="2"/>
  <c r="O428" i="2"/>
  <c r="P428" i="2"/>
  <c r="G429" i="2"/>
  <c r="M429" i="2"/>
  <c r="O429" i="2"/>
  <c r="P429" i="2"/>
  <c r="G430" i="2"/>
  <c r="M430" i="2"/>
  <c r="O430" i="2"/>
  <c r="P430" i="2"/>
  <c r="G431" i="2"/>
  <c r="M431" i="2"/>
  <c r="O431" i="2"/>
  <c r="P431" i="2"/>
  <c r="G432" i="2"/>
  <c r="M432" i="2"/>
  <c r="O432" i="2"/>
  <c r="P432" i="2"/>
  <c r="G433" i="2"/>
  <c r="M433" i="2"/>
  <c r="O433" i="2"/>
  <c r="P433" i="2"/>
  <c r="G434" i="2"/>
  <c r="M434" i="2"/>
  <c r="O434" i="2"/>
  <c r="P434" i="2"/>
  <c r="G435" i="2"/>
  <c r="M435" i="2"/>
  <c r="O435" i="2"/>
  <c r="P435" i="2"/>
  <c r="G436" i="2"/>
  <c r="M436" i="2"/>
  <c r="O436" i="2"/>
  <c r="P436" i="2"/>
  <c r="G437" i="2"/>
  <c r="M437" i="2"/>
  <c r="O437" i="2"/>
  <c r="P437" i="2"/>
  <c r="G438" i="2"/>
  <c r="M438" i="2"/>
  <c r="O438" i="2"/>
  <c r="P438" i="2"/>
  <c r="G439" i="2"/>
  <c r="M439" i="2"/>
  <c r="O439" i="2"/>
  <c r="P439" i="2"/>
  <c r="G440" i="2"/>
  <c r="M440" i="2"/>
  <c r="O440" i="2"/>
  <c r="P440" i="2"/>
  <c r="G441" i="2"/>
  <c r="M441" i="2"/>
  <c r="O441" i="2"/>
  <c r="P441" i="2"/>
  <c r="G442" i="2"/>
  <c r="M442" i="2"/>
  <c r="O442" i="2"/>
  <c r="P442" i="2"/>
  <c r="G443" i="2"/>
  <c r="M443" i="2"/>
  <c r="O443" i="2"/>
  <c r="P443" i="2"/>
  <c r="G444" i="2"/>
  <c r="M444" i="2"/>
  <c r="O444" i="2"/>
  <c r="P444" i="2"/>
  <c r="G445" i="2"/>
  <c r="M445" i="2"/>
  <c r="O445" i="2"/>
  <c r="P445" i="2"/>
  <c r="G446" i="2"/>
  <c r="M446" i="2"/>
  <c r="O446" i="2"/>
  <c r="P446" i="2"/>
  <c r="G447" i="2"/>
  <c r="M447" i="2"/>
  <c r="O447" i="2"/>
  <c r="P447" i="2"/>
  <c r="G448" i="2"/>
  <c r="M448" i="2"/>
  <c r="O448" i="2"/>
  <c r="P448" i="2"/>
  <c r="G449" i="2"/>
  <c r="M449" i="2"/>
  <c r="O449" i="2"/>
  <c r="P449" i="2"/>
  <c r="G450" i="2"/>
  <c r="M450" i="2"/>
  <c r="O450" i="2"/>
  <c r="P450" i="2"/>
  <c r="G451" i="2"/>
  <c r="M451" i="2"/>
  <c r="O451" i="2"/>
  <c r="P451" i="2"/>
  <c r="G452" i="2"/>
  <c r="M452" i="2"/>
  <c r="O452" i="2"/>
  <c r="P452" i="2"/>
  <c r="G453" i="2"/>
  <c r="M453" i="2"/>
  <c r="O453" i="2"/>
  <c r="P453" i="2"/>
  <c r="G454" i="2"/>
  <c r="M454" i="2"/>
  <c r="O454" i="2"/>
  <c r="P454" i="2"/>
  <c r="G455" i="2"/>
  <c r="M455" i="2"/>
  <c r="O455" i="2"/>
  <c r="P455" i="2"/>
  <c r="G456" i="2"/>
  <c r="M456" i="2"/>
  <c r="O456" i="2"/>
  <c r="P456" i="2"/>
  <c r="G457" i="2"/>
  <c r="M457" i="2"/>
  <c r="O457" i="2"/>
  <c r="P457" i="2"/>
  <c r="G458" i="2"/>
  <c r="M458" i="2"/>
  <c r="O458" i="2"/>
  <c r="P458" i="2"/>
  <c r="E459" i="2"/>
  <c r="G459" i="2"/>
  <c r="M459" i="2"/>
  <c r="O459" i="2"/>
  <c r="P459" i="2"/>
  <c r="E460" i="2"/>
  <c r="G460" i="2"/>
  <c r="M460" i="2"/>
  <c r="O460" i="2"/>
  <c r="P460" i="2"/>
  <c r="E461" i="2"/>
  <c r="G461" i="2"/>
  <c r="M461" i="2"/>
  <c r="O461" i="2"/>
  <c r="P461" i="2"/>
  <c r="G462" i="2"/>
  <c r="M462" i="2"/>
  <c r="O462" i="2"/>
  <c r="P462" i="2"/>
  <c r="E463" i="2"/>
  <c r="G463" i="2"/>
  <c r="M463" i="2"/>
  <c r="O463" i="2"/>
  <c r="P463" i="2"/>
  <c r="E464" i="2"/>
  <c r="G464" i="2"/>
  <c r="M464" i="2"/>
  <c r="O464" i="2"/>
  <c r="P464" i="2"/>
  <c r="E465" i="2"/>
  <c r="G465" i="2"/>
  <c r="M465" i="2"/>
  <c r="O465" i="2"/>
  <c r="P465" i="2"/>
  <c r="E466" i="2"/>
  <c r="G466" i="2"/>
  <c r="M466" i="2"/>
  <c r="O466" i="2"/>
  <c r="P466" i="2"/>
  <c r="E467" i="2"/>
  <c r="G467" i="2"/>
  <c r="M467" i="2"/>
  <c r="O467" i="2"/>
  <c r="P467" i="2"/>
  <c r="E468" i="2"/>
  <c r="G468" i="2"/>
  <c r="M468" i="2"/>
  <c r="O468" i="2"/>
  <c r="P468" i="2"/>
  <c r="E469" i="2"/>
  <c r="G469" i="2"/>
  <c r="M469" i="2"/>
  <c r="O469" i="2"/>
  <c r="P469" i="2"/>
  <c r="E470" i="2"/>
  <c r="G470" i="2"/>
  <c r="M470" i="2"/>
  <c r="O470" i="2"/>
  <c r="P470" i="2"/>
  <c r="E471" i="2"/>
  <c r="G471" i="2"/>
  <c r="M471" i="2"/>
  <c r="O471" i="2"/>
  <c r="P471" i="2"/>
  <c r="G472" i="2"/>
  <c r="M472" i="2"/>
  <c r="O472" i="2"/>
  <c r="P472" i="2"/>
  <c r="G473" i="2"/>
  <c r="M473" i="2"/>
  <c r="O473" i="2"/>
  <c r="P473" i="2"/>
  <c r="G474" i="2"/>
  <c r="M474" i="2"/>
  <c r="O474" i="2"/>
  <c r="P474" i="2"/>
  <c r="G475" i="2"/>
  <c r="M475" i="2"/>
  <c r="O475" i="2"/>
  <c r="P475" i="2"/>
  <c r="G476" i="2"/>
  <c r="M476" i="2"/>
  <c r="O476" i="2"/>
  <c r="P476" i="2"/>
  <c r="G477" i="2"/>
  <c r="M477" i="2"/>
  <c r="O477" i="2"/>
  <c r="P477" i="2"/>
  <c r="M478" i="2"/>
  <c r="O478" i="2"/>
  <c r="P478" i="2"/>
  <c r="M479" i="2"/>
  <c r="O479" i="2"/>
  <c r="P479" i="2"/>
  <c r="M480" i="2"/>
  <c r="O480" i="2"/>
  <c r="P480" i="2"/>
  <c r="M481" i="2"/>
  <c r="O481" i="2"/>
  <c r="P481" i="2"/>
  <c r="M482" i="2"/>
  <c r="O482" i="2"/>
  <c r="P482" i="2"/>
  <c r="M483" i="2"/>
  <c r="O483" i="2"/>
  <c r="P483" i="2"/>
  <c r="M484" i="2"/>
  <c r="O484" i="2"/>
  <c r="P484" i="2"/>
  <c r="M485" i="2"/>
  <c r="O485" i="2"/>
  <c r="P485" i="2"/>
  <c r="M486" i="2"/>
  <c r="O486" i="2"/>
  <c r="P486" i="2"/>
  <c r="M487" i="2"/>
  <c r="O487" i="2"/>
  <c r="P487" i="2"/>
  <c r="M488" i="2"/>
  <c r="O488" i="2"/>
  <c r="P488" i="2"/>
  <c r="M489" i="2"/>
  <c r="O489" i="2"/>
  <c r="P489" i="2"/>
  <c r="M490" i="2"/>
  <c r="O490" i="2"/>
  <c r="P490" i="2"/>
  <c r="M491" i="2"/>
  <c r="O491" i="2"/>
  <c r="P491" i="2"/>
  <c r="M492" i="2"/>
  <c r="O492" i="2"/>
  <c r="P492" i="2"/>
  <c r="M493" i="2"/>
  <c r="O493" i="2"/>
  <c r="P493" i="2"/>
  <c r="M494" i="2"/>
  <c r="O494" i="2"/>
  <c r="P494" i="2"/>
  <c r="M495" i="2"/>
  <c r="O495" i="2"/>
  <c r="P495" i="2"/>
  <c r="M496" i="2"/>
  <c r="O496" i="2"/>
  <c r="P496" i="2"/>
  <c r="M497" i="2"/>
  <c r="O497" i="2"/>
  <c r="P497" i="2"/>
  <c r="M498" i="2"/>
  <c r="O498" i="2"/>
  <c r="P498" i="2"/>
  <c r="M499" i="2"/>
  <c r="O499" i="2"/>
  <c r="P499" i="2"/>
  <c r="M500" i="2"/>
  <c r="O500" i="2"/>
  <c r="P500" i="2"/>
  <c r="M501" i="2"/>
  <c r="O501" i="2"/>
  <c r="P501" i="2"/>
  <c r="M502" i="2"/>
  <c r="O502" i="2"/>
  <c r="P502" i="2"/>
  <c r="M503" i="2"/>
  <c r="O503" i="2"/>
  <c r="P503" i="2"/>
  <c r="M504" i="2"/>
  <c r="O504" i="2"/>
  <c r="P504" i="2"/>
  <c r="M505" i="2"/>
  <c r="O505" i="2"/>
  <c r="P505" i="2"/>
  <c r="M506" i="2"/>
  <c r="O506" i="2"/>
  <c r="P506" i="2"/>
  <c r="M507" i="2"/>
  <c r="O507" i="2"/>
  <c r="P507" i="2"/>
  <c r="M508" i="2"/>
  <c r="O508" i="2"/>
  <c r="P508" i="2"/>
  <c r="M509" i="2"/>
  <c r="O509" i="2"/>
  <c r="P509" i="2"/>
  <c r="M510" i="2"/>
  <c r="O510" i="2"/>
  <c r="P510" i="2"/>
  <c r="M511" i="2"/>
  <c r="O511" i="2"/>
  <c r="P511" i="2"/>
  <c r="M512" i="2"/>
  <c r="O512" i="2"/>
  <c r="P512" i="2"/>
  <c r="M513" i="2"/>
  <c r="O513" i="2"/>
  <c r="P513" i="2"/>
  <c r="M514" i="2"/>
  <c r="O514" i="2"/>
  <c r="P514" i="2"/>
  <c r="M515" i="2"/>
  <c r="O515" i="2"/>
  <c r="P515" i="2"/>
  <c r="M516" i="2"/>
  <c r="O516" i="2"/>
  <c r="P516" i="2"/>
  <c r="M517" i="2"/>
  <c r="O517" i="2"/>
  <c r="P517" i="2"/>
  <c r="M518" i="2"/>
  <c r="O518" i="2"/>
  <c r="P518" i="2"/>
  <c r="M519" i="2"/>
  <c r="O519" i="2"/>
  <c r="P519" i="2"/>
  <c r="M520" i="2"/>
  <c r="O520" i="2"/>
  <c r="P520" i="2"/>
  <c r="M521" i="2"/>
  <c r="O521" i="2"/>
  <c r="P521" i="2"/>
  <c r="M522" i="2"/>
  <c r="O522" i="2"/>
  <c r="P522" i="2"/>
  <c r="M523" i="2"/>
  <c r="O523" i="2"/>
  <c r="P523" i="2"/>
  <c r="M524" i="2"/>
  <c r="O524" i="2"/>
  <c r="P524" i="2"/>
  <c r="M525" i="2"/>
  <c r="O525" i="2"/>
  <c r="P525" i="2"/>
  <c r="M526" i="2"/>
  <c r="O526" i="2"/>
  <c r="P526" i="2"/>
  <c r="M527" i="2"/>
  <c r="O527" i="2"/>
  <c r="P527" i="2"/>
  <c r="M528" i="2"/>
  <c r="O528" i="2"/>
  <c r="P528" i="2"/>
  <c r="M529" i="2"/>
  <c r="O529" i="2"/>
  <c r="P529" i="2"/>
  <c r="M530" i="2"/>
  <c r="O530" i="2"/>
  <c r="P530" i="2"/>
  <c r="M531" i="2"/>
  <c r="O531" i="2"/>
  <c r="P531" i="2"/>
  <c r="M532" i="2"/>
  <c r="O532" i="2"/>
  <c r="P532" i="2"/>
  <c r="M533" i="2"/>
  <c r="O533" i="2"/>
  <c r="P533" i="2"/>
  <c r="M534" i="2"/>
  <c r="O534" i="2"/>
  <c r="P534" i="2"/>
  <c r="M535" i="2"/>
  <c r="O535" i="2"/>
  <c r="P535" i="2"/>
  <c r="M536" i="2"/>
  <c r="O536" i="2"/>
  <c r="P536" i="2"/>
  <c r="M537" i="2"/>
  <c r="O537" i="2"/>
  <c r="P537" i="2"/>
  <c r="M538" i="2"/>
  <c r="O538" i="2"/>
  <c r="P538" i="2"/>
  <c r="M539" i="2"/>
  <c r="O539" i="2"/>
  <c r="P539" i="2"/>
  <c r="M540" i="2"/>
  <c r="O540" i="2"/>
  <c r="P540" i="2"/>
  <c r="M541" i="2"/>
  <c r="O541" i="2"/>
  <c r="P541" i="2"/>
  <c r="M542" i="2"/>
  <c r="O542" i="2"/>
  <c r="P542" i="2"/>
  <c r="M543" i="2"/>
  <c r="O543" i="2"/>
  <c r="P543" i="2"/>
  <c r="M544" i="2"/>
  <c r="O544" i="2"/>
  <c r="P544" i="2"/>
  <c r="M545" i="2"/>
  <c r="O545" i="2"/>
  <c r="P545" i="2"/>
  <c r="M546" i="2"/>
  <c r="O546" i="2"/>
  <c r="P546" i="2"/>
  <c r="M547" i="2"/>
  <c r="O547" i="2"/>
  <c r="P547" i="2"/>
  <c r="M548" i="2"/>
  <c r="O548" i="2"/>
  <c r="P548" i="2"/>
  <c r="M549" i="2"/>
  <c r="O549" i="2"/>
  <c r="P549" i="2"/>
  <c r="M550" i="2"/>
  <c r="O550" i="2"/>
  <c r="P550" i="2"/>
  <c r="M551" i="2"/>
  <c r="O551" i="2"/>
  <c r="P551" i="2"/>
  <c r="M552" i="2"/>
  <c r="O552" i="2"/>
  <c r="P552" i="2"/>
  <c r="M553" i="2"/>
  <c r="O553" i="2"/>
  <c r="P553" i="2"/>
  <c r="M554" i="2"/>
  <c r="O554" i="2"/>
  <c r="P554" i="2"/>
  <c r="M555" i="2"/>
  <c r="O555" i="2"/>
  <c r="P555" i="2"/>
  <c r="M556" i="2"/>
  <c r="O556" i="2"/>
  <c r="P556" i="2"/>
  <c r="M557" i="2"/>
  <c r="O557" i="2"/>
  <c r="P557" i="2"/>
  <c r="M558" i="2"/>
  <c r="O558" i="2"/>
  <c r="P558" i="2"/>
  <c r="M559" i="2"/>
  <c r="O559" i="2"/>
  <c r="P559" i="2"/>
  <c r="M560" i="2"/>
  <c r="O560" i="2"/>
  <c r="P560" i="2"/>
  <c r="M561" i="2"/>
  <c r="O561" i="2"/>
  <c r="P561" i="2"/>
  <c r="M562" i="2"/>
  <c r="O562" i="2"/>
  <c r="P562" i="2"/>
  <c r="M563" i="2"/>
  <c r="O563" i="2"/>
  <c r="P563" i="2"/>
  <c r="M564" i="2"/>
  <c r="O564" i="2"/>
  <c r="P564" i="2"/>
  <c r="M565" i="2"/>
  <c r="O565" i="2"/>
  <c r="P565" i="2"/>
  <c r="M566" i="2"/>
  <c r="O566" i="2"/>
  <c r="P566" i="2"/>
  <c r="M567" i="2"/>
  <c r="O567" i="2"/>
  <c r="P567" i="2"/>
  <c r="M568" i="2"/>
  <c r="O568" i="2"/>
  <c r="P568" i="2"/>
  <c r="M569" i="2"/>
  <c r="O569" i="2"/>
  <c r="P569" i="2"/>
  <c r="M570" i="2"/>
  <c r="O570" i="2"/>
  <c r="P570" i="2"/>
  <c r="M571" i="2"/>
  <c r="O571" i="2"/>
  <c r="P571" i="2"/>
  <c r="M572" i="2"/>
  <c r="O572" i="2"/>
  <c r="P572" i="2"/>
  <c r="M573" i="2"/>
  <c r="O573" i="2"/>
  <c r="P573" i="2"/>
  <c r="M574" i="2"/>
  <c r="O574" i="2"/>
  <c r="P574" i="2"/>
  <c r="M575" i="2"/>
  <c r="O575" i="2"/>
  <c r="P575" i="2"/>
  <c r="M576" i="2"/>
  <c r="O576" i="2"/>
  <c r="P576" i="2"/>
  <c r="M577" i="2"/>
  <c r="O577" i="2"/>
  <c r="P577" i="2"/>
  <c r="M578" i="2"/>
  <c r="O578" i="2"/>
  <c r="P578" i="2"/>
  <c r="M579" i="2"/>
  <c r="O579" i="2"/>
  <c r="P579" i="2"/>
  <c r="M580" i="2"/>
  <c r="O580" i="2"/>
  <c r="P580" i="2"/>
  <c r="M581" i="2"/>
  <c r="O581" i="2"/>
  <c r="P581" i="2"/>
  <c r="M582" i="2"/>
  <c r="O582" i="2"/>
  <c r="P582" i="2"/>
  <c r="M583" i="2"/>
  <c r="O583" i="2"/>
  <c r="P583" i="2"/>
  <c r="M584" i="2"/>
  <c r="O584" i="2"/>
  <c r="P584" i="2"/>
  <c r="M585" i="2"/>
  <c r="O585" i="2"/>
  <c r="P585" i="2"/>
  <c r="M586" i="2"/>
  <c r="O586" i="2"/>
  <c r="P586" i="2"/>
  <c r="M587" i="2"/>
  <c r="O587" i="2"/>
  <c r="P587" i="2"/>
  <c r="M588" i="2"/>
  <c r="O588" i="2"/>
  <c r="P588" i="2"/>
  <c r="M589" i="2"/>
  <c r="O589" i="2"/>
  <c r="P589" i="2"/>
  <c r="M590" i="2"/>
  <c r="O590" i="2"/>
  <c r="P590" i="2"/>
  <c r="M591" i="2"/>
  <c r="O591" i="2"/>
  <c r="P591" i="2"/>
  <c r="M592" i="2"/>
  <c r="O592" i="2"/>
  <c r="P592" i="2"/>
  <c r="M593" i="2"/>
  <c r="O593" i="2"/>
  <c r="P593" i="2"/>
  <c r="M594" i="2"/>
  <c r="O594" i="2"/>
  <c r="P594" i="2"/>
  <c r="M595" i="2"/>
  <c r="O595" i="2"/>
  <c r="P595" i="2"/>
  <c r="M596" i="2"/>
  <c r="O596" i="2"/>
  <c r="P596" i="2"/>
  <c r="M597" i="2"/>
  <c r="O597" i="2"/>
  <c r="P597" i="2"/>
  <c r="M598" i="2"/>
  <c r="O598" i="2"/>
  <c r="P598" i="2"/>
  <c r="M599" i="2"/>
  <c r="O599" i="2"/>
  <c r="P599" i="2"/>
  <c r="M600" i="2"/>
  <c r="O600" i="2"/>
  <c r="P600" i="2"/>
  <c r="M601" i="2"/>
  <c r="O601" i="2"/>
  <c r="P601" i="2"/>
  <c r="M602" i="2"/>
  <c r="O602" i="2"/>
  <c r="P602" i="2"/>
  <c r="M603" i="2"/>
  <c r="O603" i="2"/>
  <c r="P603" i="2"/>
  <c r="M604" i="2"/>
  <c r="O604" i="2"/>
  <c r="P604" i="2"/>
  <c r="M605" i="2"/>
  <c r="O605" i="2"/>
  <c r="P605" i="2"/>
  <c r="M606" i="2"/>
  <c r="O606" i="2"/>
  <c r="P606" i="2"/>
  <c r="M607" i="2"/>
  <c r="O607" i="2"/>
  <c r="P607" i="2"/>
  <c r="M608" i="2"/>
  <c r="O608" i="2"/>
  <c r="P608" i="2"/>
  <c r="M609" i="2"/>
  <c r="O609" i="2"/>
  <c r="P609" i="2"/>
  <c r="M610" i="2"/>
  <c r="O610" i="2"/>
  <c r="P610" i="2"/>
  <c r="M611" i="2"/>
  <c r="O611" i="2"/>
  <c r="P611" i="2"/>
  <c r="M612" i="2"/>
  <c r="O612" i="2"/>
  <c r="P612" i="2"/>
  <c r="M613" i="2"/>
  <c r="O613" i="2"/>
  <c r="P613" i="2"/>
  <c r="M614" i="2"/>
  <c r="O614" i="2"/>
  <c r="P614" i="2"/>
  <c r="M615" i="2"/>
  <c r="O615" i="2"/>
  <c r="P615" i="2"/>
  <c r="M616" i="2"/>
  <c r="O616" i="2"/>
  <c r="P616" i="2"/>
  <c r="M617" i="2"/>
  <c r="O617" i="2"/>
  <c r="P617" i="2"/>
  <c r="M618" i="2"/>
  <c r="O618" i="2"/>
  <c r="P618" i="2"/>
  <c r="M619" i="2"/>
  <c r="O619" i="2"/>
  <c r="P619" i="2"/>
  <c r="M620" i="2"/>
  <c r="O620" i="2"/>
  <c r="P620" i="2"/>
  <c r="M621" i="2"/>
  <c r="O621" i="2"/>
  <c r="P621" i="2"/>
  <c r="M622" i="2"/>
  <c r="O622" i="2"/>
  <c r="P622" i="2"/>
  <c r="M623" i="2"/>
  <c r="O623" i="2"/>
  <c r="P623" i="2"/>
  <c r="M624" i="2"/>
  <c r="O624" i="2"/>
  <c r="P624" i="2"/>
  <c r="M625" i="2"/>
  <c r="O625" i="2"/>
  <c r="P625" i="2"/>
  <c r="M626" i="2"/>
  <c r="O626" i="2"/>
  <c r="P626" i="2"/>
  <c r="M627" i="2"/>
  <c r="O627" i="2"/>
  <c r="P627" i="2"/>
  <c r="M628" i="2"/>
  <c r="O628" i="2"/>
  <c r="P628" i="2"/>
  <c r="M629" i="2"/>
  <c r="O629" i="2"/>
  <c r="P629" i="2"/>
  <c r="M630" i="2"/>
  <c r="O630" i="2"/>
  <c r="P630" i="2"/>
  <c r="M631" i="2"/>
  <c r="O631" i="2"/>
  <c r="P631" i="2"/>
  <c r="M632" i="2"/>
  <c r="O632" i="2"/>
  <c r="P632" i="2"/>
  <c r="M633" i="2"/>
  <c r="O633" i="2"/>
  <c r="P633" i="2"/>
  <c r="M634" i="2"/>
  <c r="O634" i="2"/>
  <c r="P634" i="2"/>
  <c r="M635" i="2"/>
  <c r="O635" i="2"/>
  <c r="P635" i="2"/>
  <c r="M636" i="2"/>
  <c r="O636" i="2"/>
  <c r="P636" i="2"/>
  <c r="M637" i="2"/>
  <c r="O637" i="2"/>
  <c r="P637" i="2"/>
  <c r="M638" i="2"/>
  <c r="O638" i="2"/>
  <c r="P638" i="2"/>
  <c r="M639" i="2"/>
  <c r="O639" i="2"/>
  <c r="P639" i="2"/>
  <c r="M640" i="2"/>
  <c r="O640" i="2"/>
  <c r="P640" i="2"/>
  <c r="M641" i="2"/>
  <c r="O641" i="2"/>
  <c r="P641" i="2"/>
  <c r="M642" i="2"/>
  <c r="O642" i="2"/>
  <c r="P642" i="2"/>
  <c r="M643" i="2"/>
  <c r="O643" i="2"/>
  <c r="P643" i="2"/>
  <c r="M644" i="2"/>
  <c r="O644" i="2"/>
  <c r="P644" i="2"/>
  <c r="M645" i="2"/>
  <c r="O645" i="2"/>
  <c r="P645" i="2"/>
  <c r="M646" i="2"/>
  <c r="O646" i="2"/>
  <c r="P646" i="2"/>
  <c r="M647" i="2"/>
  <c r="O647" i="2"/>
  <c r="P647" i="2"/>
  <c r="M648" i="2"/>
  <c r="O648" i="2"/>
  <c r="P648" i="2"/>
  <c r="M649" i="2"/>
  <c r="O649" i="2"/>
  <c r="P649" i="2"/>
  <c r="M650" i="2"/>
  <c r="O650" i="2"/>
  <c r="P650" i="2"/>
  <c r="M651" i="2"/>
  <c r="O651" i="2"/>
  <c r="P651" i="2"/>
  <c r="M652" i="2"/>
  <c r="O652" i="2"/>
  <c r="P652" i="2"/>
  <c r="M653" i="2"/>
  <c r="O653" i="2"/>
  <c r="P653" i="2"/>
  <c r="M654" i="2"/>
  <c r="O654" i="2"/>
  <c r="P654" i="2"/>
  <c r="M655" i="2"/>
  <c r="O655" i="2"/>
  <c r="P655" i="2"/>
  <c r="M656" i="2"/>
  <c r="O656" i="2"/>
  <c r="P656" i="2"/>
  <c r="M657" i="2"/>
  <c r="O657" i="2"/>
  <c r="P657" i="2"/>
  <c r="M658" i="2"/>
  <c r="O658" i="2"/>
  <c r="P658" i="2"/>
  <c r="M659" i="2"/>
  <c r="O659" i="2"/>
  <c r="P659" i="2"/>
  <c r="M660" i="2"/>
  <c r="O660" i="2"/>
  <c r="P660" i="2"/>
  <c r="M661" i="2"/>
  <c r="O661" i="2"/>
  <c r="P661" i="2"/>
  <c r="M662" i="2"/>
  <c r="O662" i="2"/>
  <c r="P662" i="2"/>
  <c r="M663" i="2"/>
  <c r="O663" i="2"/>
  <c r="P663" i="2"/>
  <c r="M664" i="2"/>
  <c r="O664" i="2"/>
  <c r="P664" i="2"/>
  <c r="M665" i="2"/>
  <c r="O665" i="2"/>
  <c r="P665" i="2"/>
  <c r="M666" i="2"/>
  <c r="O666" i="2"/>
  <c r="P666" i="2"/>
  <c r="M667" i="2"/>
  <c r="O667" i="2"/>
  <c r="P667" i="2"/>
  <c r="M668" i="2"/>
  <c r="O668" i="2"/>
  <c r="P668" i="2"/>
  <c r="M669" i="2"/>
  <c r="O669" i="2"/>
  <c r="P669" i="2"/>
  <c r="M670" i="2"/>
  <c r="O670" i="2"/>
  <c r="P670" i="2"/>
  <c r="M671" i="2"/>
  <c r="O671" i="2"/>
  <c r="P671" i="2"/>
  <c r="M672" i="2"/>
  <c r="O672" i="2"/>
  <c r="P672" i="2"/>
  <c r="M673" i="2"/>
  <c r="O673" i="2"/>
  <c r="P673" i="2"/>
  <c r="M674" i="2"/>
  <c r="O674" i="2"/>
  <c r="P674" i="2"/>
  <c r="M675" i="2"/>
  <c r="O675" i="2"/>
  <c r="P675" i="2"/>
  <c r="M676" i="2"/>
  <c r="O676" i="2"/>
  <c r="P676" i="2"/>
  <c r="M677" i="2"/>
  <c r="O677" i="2"/>
  <c r="P677" i="2"/>
  <c r="M678" i="2"/>
  <c r="O678" i="2"/>
  <c r="P678" i="2"/>
  <c r="M679" i="2"/>
  <c r="O679" i="2"/>
  <c r="P679" i="2"/>
  <c r="M680" i="2"/>
  <c r="O680" i="2"/>
  <c r="P680" i="2"/>
  <c r="M681" i="2"/>
  <c r="O681" i="2"/>
  <c r="P681" i="2"/>
  <c r="M682" i="2"/>
  <c r="O682" i="2"/>
  <c r="P682" i="2"/>
  <c r="M683" i="2"/>
  <c r="O683" i="2"/>
  <c r="P683" i="2"/>
  <c r="M684" i="2"/>
  <c r="O684" i="2"/>
  <c r="P684" i="2"/>
  <c r="M685" i="2"/>
  <c r="O685" i="2"/>
  <c r="P685" i="2"/>
  <c r="M686" i="2"/>
  <c r="O686" i="2"/>
  <c r="P686" i="2"/>
  <c r="M687" i="2"/>
  <c r="O687" i="2"/>
  <c r="P687" i="2"/>
  <c r="M688" i="2"/>
  <c r="O688" i="2"/>
  <c r="P688" i="2"/>
  <c r="M689" i="2"/>
  <c r="O689" i="2"/>
  <c r="P689" i="2"/>
  <c r="M690" i="2"/>
  <c r="O690" i="2"/>
  <c r="P690" i="2"/>
  <c r="M691" i="2"/>
  <c r="O691" i="2"/>
  <c r="P691" i="2"/>
  <c r="M692" i="2"/>
  <c r="O692" i="2"/>
  <c r="P692" i="2"/>
  <c r="M699" i="2"/>
  <c r="O699" i="2"/>
  <c r="P699" i="2"/>
  <c r="M700" i="2"/>
  <c r="O700" i="2"/>
  <c r="P700" i="2"/>
  <c r="M701" i="2"/>
  <c r="O701" i="2"/>
  <c r="P701" i="2"/>
  <c r="M702" i="2"/>
  <c r="O702" i="2"/>
  <c r="P702" i="2"/>
  <c r="M703" i="2"/>
  <c r="O703" i="2"/>
  <c r="P703" i="2"/>
  <c r="M704" i="2"/>
  <c r="O704" i="2"/>
  <c r="P704" i="2"/>
  <c r="M705" i="2"/>
  <c r="O705" i="2"/>
  <c r="P705" i="2"/>
  <c r="M706" i="2"/>
  <c r="O706" i="2"/>
  <c r="P706" i="2"/>
  <c r="M707" i="2"/>
  <c r="O707" i="2"/>
  <c r="P707" i="2"/>
  <c r="Q708" i="2"/>
  <c r="M709" i="2"/>
  <c r="N709" i="2"/>
  <c r="O709" i="2"/>
  <c r="P709" i="2"/>
  <c r="Q709" i="2"/>
  <c r="M710" i="2"/>
  <c r="N710" i="2"/>
  <c r="O710" i="2"/>
  <c r="P710" i="2"/>
  <c r="Q710" i="2"/>
  <c r="M711" i="2"/>
  <c r="N711" i="2"/>
  <c r="O711" i="2"/>
  <c r="P711" i="2"/>
  <c r="Q711" i="2"/>
  <c r="M712" i="2"/>
  <c r="N712" i="2"/>
  <c r="O712" i="2"/>
  <c r="P712" i="2"/>
  <c r="Q712" i="2"/>
  <c r="M713" i="2"/>
  <c r="N713" i="2"/>
  <c r="O713" i="2"/>
  <c r="P713" i="2"/>
  <c r="Q713" i="2"/>
  <c r="M714" i="2"/>
  <c r="N714" i="2"/>
  <c r="O714" i="2"/>
  <c r="P714" i="2"/>
  <c r="Q714" i="2"/>
  <c r="M715" i="2"/>
  <c r="N715" i="2"/>
  <c r="O715" i="2"/>
  <c r="P715" i="2"/>
  <c r="Q715" i="2"/>
  <c r="M716" i="2"/>
  <c r="N716" i="2"/>
  <c r="O716" i="2"/>
  <c r="P716" i="2"/>
  <c r="Q716" i="2"/>
  <c r="M717" i="2"/>
  <c r="N717" i="2"/>
  <c r="O717" i="2"/>
  <c r="P717" i="2"/>
  <c r="Q717" i="2"/>
  <c r="M718" i="2"/>
  <c r="N718" i="2"/>
  <c r="O718" i="2"/>
  <c r="P718" i="2"/>
  <c r="Q718" i="2"/>
  <c r="M719" i="2"/>
  <c r="N719" i="2"/>
  <c r="O719" i="2"/>
  <c r="P719" i="2"/>
  <c r="Q719" i="2"/>
  <c r="M720" i="2"/>
  <c r="N720" i="2"/>
  <c r="O720" i="2"/>
  <c r="P720" i="2"/>
  <c r="Q720" i="2"/>
  <c r="M721" i="2"/>
  <c r="N721" i="2"/>
  <c r="O721" i="2"/>
  <c r="P721" i="2"/>
  <c r="Q721" i="2"/>
  <c r="M22" i="39"/>
  <c r="I4" i="39"/>
  <c r="I6" i="39"/>
  <c r="I7" i="39"/>
  <c r="I8" i="39"/>
  <c r="I9" i="39"/>
  <c r="I10" i="39"/>
  <c r="I11" i="39"/>
  <c r="I12" i="39"/>
  <c r="I13" i="39"/>
  <c r="I14" i="39"/>
  <c r="I15" i="39"/>
  <c r="I16" i="39"/>
  <c r="I17" i="39"/>
  <c r="I22" i="39"/>
  <c r="U4" i="39"/>
  <c r="Q30" i="39"/>
  <c r="U5" i="39"/>
  <c r="U6" i="39"/>
  <c r="U12" i="39"/>
  <c r="U17" i="39"/>
  <c r="U19" i="39"/>
  <c r="Q31" i="39"/>
  <c r="U7" i="39"/>
  <c r="U10" i="39"/>
  <c r="U15" i="39"/>
  <c r="Q32" i="39"/>
  <c r="U8" i="39"/>
  <c r="U9" i="39"/>
  <c r="U14" i="39"/>
  <c r="U18" i="39"/>
  <c r="Q33" i="39"/>
  <c r="U16" i="39"/>
  <c r="U13" i="39"/>
  <c r="U11" i="39"/>
  <c r="Q34" i="39"/>
  <c r="Q36" i="39"/>
  <c r="Q16" i="39"/>
  <c r="Q17" i="39"/>
  <c r="O5" i="39"/>
  <c r="H6" i="39"/>
  <c r="O6" i="39"/>
  <c r="H7" i="39"/>
  <c r="O7" i="39"/>
  <c r="H8" i="39"/>
  <c r="O8" i="39"/>
  <c r="H9" i="39"/>
  <c r="O9" i="39"/>
  <c r="H10" i="39"/>
  <c r="O10" i="39"/>
  <c r="H11" i="39"/>
  <c r="O11" i="39"/>
  <c r="H12" i="39"/>
  <c r="O12" i="39"/>
  <c r="H13" i="39"/>
  <c r="O13" i="39"/>
  <c r="H14" i="39"/>
  <c r="O14" i="39"/>
  <c r="H15" i="39"/>
  <c r="O15" i="39"/>
  <c r="H16" i="39"/>
  <c r="O16" i="39"/>
  <c r="H17" i="39"/>
  <c r="O17" i="39"/>
  <c r="O18" i="39"/>
  <c r="O19" i="39"/>
  <c r="O22" i="39"/>
  <c r="I721" i="2"/>
  <c r="H721" i="2"/>
  <c r="F721" i="2"/>
  <c r="J22" i="39"/>
  <c r="H22" i="39"/>
  <c r="U22" i="39"/>
  <c r="D693" i="2"/>
  <c r="D694" i="2"/>
  <c r="D695" i="2"/>
  <c r="D696" i="2"/>
  <c r="D697" i="2"/>
  <c r="P18" i="39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G261" i="9"/>
  <c r="G259" i="9"/>
  <c r="G255" i="9"/>
  <c r="G253" i="9"/>
  <c r="G251" i="9"/>
  <c r="G249" i="9"/>
  <c r="G247" i="9"/>
  <c r="G245" i="9"/>
  <c r="G243" i="9"/>
  <c r="G241" i="9"/>
  <c r="M33" i="45"/>
  <c r="D5" i="39"/>
  <c r="C16" i="45"/>
  <c r="M36" i="45"/>
  <c r="M35" i="45"/>
  <c r="Q12" i="39"/>
  <c r="M32" i="45"/>
  <c r="P16" i="39"/>
  <c r="R16" i="39"/>
  <c r="M31" i="45"/>
  <c r="M28" i="45"/>
  <c r="J30" i="45"/>
  <c r="J28" i="45"/>
  <c r="U707" i="2"/>
  <c r="X707" i="2"/>
  <c r="N707" i="2"/>
  <c r="Q707" i="2"/>
  <c r="N706" i="2"/>
  <c r="Q706" i="2"/>
  <c r="H707" i="2"/>
  <c r="I707" i="2"/>
  <c r="F707" i="2"/>
  <c r="F7" i="52"/>
  <c r="F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29" i="52"/>
  <c r="F30" i="52"/>
  <c r="F31" i="52"/>
  <c r="F32" i="52"/>
  <c r="F33" i="52"/>
  <c r="F34" i="52"/>
  <c r="F35" i="52"/>
  <c r="F36" i="52"/>
  <c r="F37" i="52"/>
  <c r="F38" i="52"/>
  <c r="F39" i="52"/>
  <c r="F40" i="52"/>
  <c r="F41" i="52"/>
  <c r="F42" i="52"/>
  <c r="F43" i="52"/>
  <c r="F44" i="52"/>
  <c r="F45" i="52"/>
  <c r="F46" i="52"/>
  <c r="F47" i="52"/>
  <c r="F48" i="52"/>
  <c r="F49" i="52"/>
  <c r="F50" i="52"/>
  <c r="F51" i="52"/>
  <c r="F52" i="52"/>
  <c r="F53" i="52"/>
  <c r="F54" i="52"/>
  <c r="F6" i="52"/>
  <c r="E45" i="52"/>
  <c r="E46" i="52"/>
  <c r="E47" i="52"/>
  <c r="E48" i="52"/>
  <c r="E49" i="52"/>
  <c r="E50" i="52"/>
  <c r="E51" i="52"/>
  <c r="E52" i="52"/>
  <c r="E53" i="52"/>
  <c r="E54" i="52"/>
  <c r="E7" i="52"/>
  <c r="E8" i="52"/>
  <c r="E9" i="52"/>
  <c r="E10" i="52"/>
  <c r="E11" i="52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6" i="52"/>
  <c r="X692" i="2"/>
  <c r="T693" i="2"/>
  <c r="X693" i="2"/>
  <c r="E694" i="2"/>
  <c r="T694" i="2"/>
  <c r="X694" i="2"/>
  <c r="E695" i="2"/>
  <c r="G695" i="2"/>
  <c r="T695" i="2"/>
  <c r="V695" i="2"/>
  <c r="X695" i="2"/>
  <c r="E696" i="2"/>
  <c r="G696" i="2"/>
  <c r="T696" i="2"/>
  <c r="V696" i="2"/>
  <c r="X696" i="2"/>
  <c r="E697" i="2"/>
  <c r="G697" i="2"/>
  <c r="T697" i="2"/>
  <c r="V697" i="2"/>
  <c r="X697" i="2"/>
  <c r="G698" i="2"/>
  <c r="T698" i="2"/>
  <c r="V698" i="2"/>
  <c r="X698" i="2"/>
  <c r="X699" i="2"/>
  <c r="X700" i="2"/>
  <c r="X701" i="2"/>
  <c r="X702" i="2"/>
  <c r="X703" i="2"/>
  <c r="X704" i="2"/>
  <c r="X705" i="2"/>
  <c r="X706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M693" i="2"/>
  <c r="M694" i="2"/>
  <c r="M695" i="2"/>
  <c r="O695" i="2"/>
  <c r="M696" i="2"/>
  <c r="O696" i="2"/>
  <c r="M697" i="2"/>
  <c r="O697" i="2"/>
  <c r="M698" i="2"/>
  <c r="O698" i="2"/>
  <c r="Q705" i="2"/>
  <c r="N705" i="2"/>
  <c r="I706" i="2"/>
  <c r="I705" i="2"/>
  <c r="H705" i="2"/>
  <c r="H706" i="2"/>
  <c r="F705" i="2"/>
  <c r="F706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692" i="2"/>
  <c r="I702" i="2"/>
  <c r="I701" i="2"/>
  <c r="I700" i="2"/>
  <c r="I699" i="2"/>
  <c r="I698" i="2"/>
  <c r="I697" i="2"/>
  <c r="I696" i="2"/>
  <c r="I695" i="2"/>
  <c r="I694" i="2"/>
  <c r="I692" i="2"/>
  <c r="H702" i="2"/>
  <c r="H701" i="2"/>
  <c r="H700" i="2"/>
  <c r="H699" i="2"/>
  <c r="H698" i="2"/>
  <c r="H697" i="2"/>
  <c r="H696" i="2"/>
  <c r="H695" i="2"/>
  <c r="H694" i="2"/>
  <c r="H692" i="2"/>
  <c r="F702" i="2"/>
  <c r="F701" i="2"/>
  <c r="F700" i="2"/>
  <c r="F699" i="2"/>
  <c r="F698" i="2"/>
  <c r="F697" i="2"/>
  <c r="F696" i="2"/>
  <c r="F695" i="2"/>
  <c r="F692" i="2"/>
  <c r="I703" i="2"/>
  <c r="H703" i="2"/>
  <c r="F703" i="2"/>
  <c r="P17" i="39"/>
  <c r="AA47" i="45"/>
  <c r="AA46" i="45"/>
  <c r="P15" i="39"/>
  <c r="T47" i="45"/>
  <c r="T46" i="45"/>
  <c r="T50" i="45"/>
  <c r="T49" i="45"/>
  <c r="R15" i="39"/>
  <c r="T45" i="45"/>
  <c r="T42" i="45"/>
  <c r="Q44" i="45"/>
  <c r="Q42" i="45"/>
  <c r="AA50" i="45"/>
  <c r="AA49" i="45"/>
  <c r="R17" i="39"/>
  <c r="AA45" i="45"/>
  <c r="AA42" i="45"/>
  <c r="X44" i="45"/>
  <c r="X42" i="45"/>
  <c r="I704" i="2"/>
  <c r="H704" i="2"/>
  <c r="F704" i="2"/>
  <c r="Q15" i="39"/>
  <c r="AD17" i="39"/>
  <c r="AD4" i="39"/>
  <c r="AD5" i="39"/>
  <c r="AD6" i="39"/>
  <c r="AD7" i="39"/>
  <c r="AD8" i="39"/>
  <c r="AD9" i="39"/>
  <c r="AD10" i="39"/>
  <c r="AD11" i="39"/>
  <c r="AD12" i="39"/>
  <c r="AD13" i="39"/>
  <c r="AD14" i="39"/>
  <c r="AD15" i="39"/>
  <c r="AD22" i="39"/>
  <c r="X691" i="2"/>
  <c r="U691" i="2"/>
  <c r="Q691" i="2"/>
  <c r="N691" i="2"/>
  <c r="I691" i="2"/>
  <c r="H691" i="2"/>
  <c r="F691" i="2"/>
  <c r="X690" i="2"/>
  <c r="U690" i="2"/>
  <c r="Q690" i="2"/>
  <c r="N690" i="2"/>
  <c r="I690" i="2"/>
  <c r="H690" i="2"/>
  <c r="F690" i="2"/>
  <c r="X689" i="2"/>
  <c r="U689" i="2"/>
  <c r="Q689" i="2"/>
  <c r="N689" i="2"/>
  <c r="I689" i="2"/>
  <c r="H689" i="2"/>
  <c r="F689" i="2"/>
  <c r="X688" i="2"/>
  <c r="U688" i="2"/>
  <c r="Q688" i="2"/>
  <c r="N688" i="2"/>
  <c r="I688" i="2"/>
  <c r="H688" i="2"/>
  <c r="F688" i="2"/>
  <c r="X687" i="2"/>
  <c r="U687" i="2"/>
  <c r="Q687" i="2"/>
  <c r="N687" i="2"/>
  <c r="I687" i="2"/>
  <c r="H687" i="2"/>
  <c r="F687" i="2"/>
  <c r="X686" i="2"/>
  <c r="U686" i="2"/>
  <c r="Q686" i="2"/>
  <c r="N686" i="2"/>
  <c r="I686" i="2"/>
  <c r="H686" i="2"/>
  <c r="F686" i="2"/>
  <c r="X685" i="2"/>
  <c r="U685" i="2"/>
  <c r="Q685" i="2"/>
  <c r="N685" i="2"/>
  <c r="I685" i="2"/>
  <c r="H685" i="2"/>
  <c r="F685" i="2"/>
  <c r="X684" i="2"/>
  <c r="U684" i="2"/>
  <c r="Q684" i="2"/>
  <c r="N684" i="2"/>
  <c r="I684" i="2"/>
  <c r="H684" i="2"/>
  <c r="H683" i="2"/>
  <c r="I683" i="2"/>
  <c r="F684" i="2"/>
  <c r="X683" i="2"/>
  <c r="U683" i="2"/>
  <c r="Q683" i="2"/>
  <c r="N683" i="2"/>
  <c r="F683" i="2"/>
  <c r="X682" i="2"/>
  <c r="U682" i="2"/>
  <c r="Q682" i="2"/>
  <c r="N682" i="2"/>
  <c r="I682" i="2"/>
  <c r="H682" i="2"/>
  <c r="F682" i="2"/>
  <c r="X681" i="2"/>
  <c r="U681" i="2"/>
  <c r="Q681" i="2"/>
  <c r="N681" i="2"/>
  <c r="I681" i="2"/>
  <c r="H681" i="2"/>
  <c r="F681" i="2"/>
  <c r="U680" i="2"/>
  <c r="X680" i="2"/>
  <c r="Q680" i="2"/>
  <c r="N680" i="2"/>
  <c r="I680" i="2"/>
  <c r="H680" i="2"/>
  <c r="F680" i="2"/>
  <c r="X679" i="2"/>
  <c r="U679" i="2"/>
  <c r="Q679" i="2"/>
  <c r="N679" i="2"/>
  <c r="I679" i="2"/>
  <c r="H679" i="2"/>
  <c r="F679" i="2"/>
  <c r="X678" i="2"/>
  <c r="U678" i="2"/>
  <c r="Q678" i="2"/>
  <c r="N678" i="2"/>
  <c r="I678" i="2"/>
  <c r="H678" i="2"/>
  <c r="F678" i="2"/>
  <c r="X677" i="2"/>
  <c r="U677" i="2"/>
  <c r="Q677" i="2"/>
  <c r="N677" i="2"/>
  <c r="I677" i="2"/>
  <c r="H677" i="2"/>
  <c r="F677" i="2"/>
  <c r="X676" i="2"/>
  <c r="U676" i="2"/>
  <c r="Q676" i="2"/>
  <c r="N676" i="2"/>
  <c r="I676" i="2"/>
  <c r="H676" i="2"/>
  <c r="F676" i="2"/>
  <c r="U675" i="2"/>
  <c r="N675" i="2"/>
  <c r="I675" i="2"/>
  <c r="H675" i="2"/>
  <c r="F675" i="2"/>
  <c r="U674" i="2"/>
  <c r="N674" i="2"/>
  <c r="I674" i="2"/>
  <c r="H674" i="2"/>
  <c r="F674" i="2"/>
  <c r="U673" i="2"/>
  <c r="N673" i="2"/>
  <c r="I673" i="2"/>
  <c r="H673" i="2"/>
  <c r="F673" i="2"/>
  <c r="U672" i="2"/>
  <c r="N672" i="2"/>
  <c r="I672" i="2"/>
  <c r="H672" i="2"/>
  <c r="F672" i="2"/>
  <c r="U671" i="2"/>
  <c r="N671" i="2"/>
  <c r="I671" i="2"/>
  <c r="H671" i="2"/>
  <c r="F671" i="2"/>
  <c r="U670" i="2"/>
  <c r="N670" i="2"/>
  <c r="I670" i="2"/>
  <c r="H670" i="2"/>
  <c r="F670" i="2"/>
  <c r="U669" i="2"/>
  <c r="N669" i="2"/>
  <c r="I669" i="2"/>
  <c r="H669" i="2"/>
  <c r="F669" i="2"/>
  <c r="U668" i="2"/>
  <c r="N668" i="2"/>
  <c r="I668" i="2"/>
  <c r="H668" i="2"/>
  <c r="F668" i="2"/>
  <c r="U667" i="2"/>
  <c r="N667" i="2"/>
  <c r="I667" i="2"/>
  <c r="H667" i="2"/>
  <c r="F667" i="2"/>
  <c r="U666" i="2"/>
  <c r="N666" i="2"/>
  <c r="I666" i="2"/>
  <c r="H666" i="2"/>
  <c r="F666" i="2"/>
  <c r="U665" i="2"/>
  <c r="N665" i="2"/>
  <c r="I665" i="2"/>
  <c r="H665" i="2"/>
  <c r="F665" i="2"/>
  <c r="U664" i="2"/>
  <c r="N664" i="2"/>
  <c r="I664" i="2"/>
  <c r="H664" i="2"/>
  <c r="F664" i="2"/>
  <c r="U663" i="2"/>
  <c r="N663" i="2"/>
  <c r="I663" i="2"/>
  <c r="H663" i="2"/>
  <c r="F663" i="2"/>
  <c r="U662" i="2"/>
  <c r="N662" i="2"/>
  <c r="I662" i="2"/>
  <c r="H662" i="2"/>
  <c r="F662" i="2"/>
  <c r="U661" i="2"/>
  <c r="N661" i="2"/>
  <c r="I661" i="2"/>
  <c r="H661" i="2"/>
  <c r="F661" i="2"/>
  <c r="U660" i="2"/>
  <c r="N660" i="2"/>
  <c r="I660" i="2"/>
  <c r="H660" i="2"/>
  <c r="F660" i="2"/>
  <c r="M8" i="45"/>
  <c r="M6" i="45"/>
  <c r="T8" i="45"/>
  <c r="T6" i="45"/>
  <c r="U659" i="2"/>
  <c r="N659" i="2"/>
  <c r="I659" i="2"/>
  <c r="H659" i="2"/>
  <c r="F659" i="2"/>
  <c r="U658" i="2"/>
  <c r="N658" i="2"/>
  <c r="N657" i="2"/>
  <c r="I658" i="2"/>
  <c r="H658" i="2"/>
  <c r="F658" i="2"/>
  <c r="U657" i="2"/>
  <c r="I657" i="2"/>
  <c r="H657" i="2"/>
  <c r="F657" i="2"/>
  <c r="U656" i="2"/>
  <c r="N656" i="2"/>
  <c r="I656" i="2"/>
  <c r="H656" i="2"/>
  <c r="F656" i="2"/>
  <c r="U655" i="2"/>
  <c r="N655" i="2"/>
  <c r="F655" i="2"/>
  <c r="H655" i="2"/>
  <c r="I655" i="2"/>
  <c r="U654" i="2"/>
  <c r="N654" i="2"/>
  <c r="F654" i="2"/>
  <c r="H654" i="2"/>
  <c r="I654" i="2"/>
  <c r="U653" i="2"/>
  <c r="N653" i="2"/>
  <c r="F653" i="2"/>
  <c r="H653" i="2"/>
  <c r="I653" i="2"/>
  <c r="U650" i="2"/>
  <c r="U651" i="2"/>
  <c r="U652" i="2"/>
  <c r="N650" i="2"/>
  <c r="N651" i="2"/>
  <c r="N652" i="2"/>
  <c r="F650" i="2"/>
  <c r="H650" i="2"/>
  <c r="I650" i="2"/>
  <c r="F651" i="2"/>
  <c r="H651" i="2"/>
  <c r="I651" i="2"/>
  <c r="F652" i="2"/>
  <c r="H652" i="2"/>
  <c r="I652" i="2"/>
  <c r="I42" i="39"/>
  <c r="J29" i="39"/>
  <c r="J30" i="39"/>
  <c r="J33" i="39"/>
  <c r="U649" i="2"/>
  <c r="N649" i="2"/>
  <c r="F649" i="2"/>
  <c r="H649" i="2"/>
  <c r="I649" i="2"/>
  <c r="U648" i="2"/>
  <c r="N648" i="2"/>
  <c r="F648" i="2"/>
  <c r="H648" i="2"/>
  <c r="I648" i="2"/>
  <c r="U647" i="2"/>
  <c r="N647" i="2"/>
  <c r="F647" i="2"/>
  <c r="H647" i="2"/>
  <c r="I647" i="2"/>
  <c r="U646" i="2"/>
  <c r="N646" i="2"/>
  <c r="F646" i="2"/>
  <c r="H646" i="2"/>
  <c r="I646" i="2"/>
  <c r="AH50" i="45"/>
  <c r="AH42" i="45"/>
  <c r="AE44" i="45"/>
  <c r="AE42" i="45"/>
  <c r="N645" i="2"/>
  <c r="U645" i="2"/>
  <c r="F645" i="2"/>
  <c r="H645" i="2"/>
  <c r="I645" i="2"/>
  <c r="U644" i="2"/>
  <c r="N644" i="2"/>
  <c r="F644" i="2"/>
  <c r="H644" i="2"/>
  <c r="I644" i="2"/>
  <c r="U643" i="2"/>
  <c r="N643" i="2"/>
  <c r="F643" i="2"/>
  <c r="H643" i="2"/>
  <c r="I643" i="2"/>
  <c r="U642" i="2"/>
  <c r="N642" i="2"/>
  <c r="F642" i="2"/>
  <c r="H642" i="2"/>
  <c r="I642" i="2"/>
  <c r="AA10" i="45"/>
  <c r="I45" i="39"/>
  <c r="J45" i="39"/>
  <c r="G201" i="9"/>
  <c r="U641" i="2"/>
  <c r="N641" i="2"/>
  <c r="F641" i="2"/>
  <c r="H641" i="2"/>
  <c r="I641" i="2"/>
  <c r="Z74" i="45"/>
  <c r="Z75" i="45"/>
  <c r="Z76" i="45"/>
  <c r="Z78" i="45"/>
  <c r="Z80" i="45"/>
  <c r="Z81" i="45"/>
  <c r="Z73" i="45"/>
  <c r="T77" i="45"/>
  <c r="T78" i="45"/>
  <c r="T79" i="45"/>
  <c r="T80" i="45"/>
  <c r="T81" i="45"/>
  <c r="R81" i="45"/>
  <c r="R79" i="45"/>
  <c r="R80" i="45"/>
  <c r="R74" i="45"/>
  <c r="R75" i="45"/>
  <c r="R76" i="45"/>
  <c r="R77" i="45"/>
  <c r="R78" i="45"/>
  <c r="R73" i="45"/>
  <c r="L74" i="45"/>
  <c r="L73" i="45"/>
  <c r="J74" i="45"/>
  <c r="J73" i="45"/>
  <c r="F75" i="45"/>
  <c r="F76" i="45"/>
  <c r="F77" i="45"/>
  <c r="F74" i="45"/>
  <c r="F73" i="45"/>
  <c r="D74" i="45"/>
  <c r="D75" i="45"/>
  <c r="D76" i="45"/>
  <c r="D77" i="45"/>
  <c r="D73" i="45"/>
  <c r="I40" i="39"/>
  <c r="Z77" i="45"/>
  <c r="H44" i="39"/>
  <c r="X81" i="45"/>
  <c r="AA81" i="45"/>
  <c r="H43" i="39"/>
  <c r="J43" i="39"/>
  <c r="H42" i="39"/>
  <c r="X79" i="45"/>
  <c r="H41" i="39"/>
  <c r="J41" i="39"/>
  <c r="H40" i="39"/>
  <c r="X77" i="45"/>
  <c r="H39" i="39"/>
  <c r="X76" i="45"/>
  <c r="AA76" i="45"/>
  <c r="H38" i="39"/>
  <c r="X75" i="45"/>
  <c r="H37" i="39"/>
  <c r="J37" i="39"/>
  <c r="H36" i="39"/>
  <c r="J36" i="39"/>
  <c r="I32" i="39"/>
  <c r="I31" i="39"/>
  <c r="L75" i="45"/>
  <c r="J77" i="45"/>
  <c r="H32" i="39"/>
  <c r="J76" i="45"/>
  <c r="H31" i="39"/>
  <c r="J75" i="45"/>
  <c r="U640" i="2"/>
  <c r="N640" i="2"/>
  <c r="F640" i="2"/>
  <c r="H640" i="2"/>
  <c r="I640" i="2"/>
  <c r="J42" i="39"/>
  <c r="Z79" i="45"/>
  <c r="L77" i="45"/>
  <c r="U639" i="2"/>
  <c r="N639" i="2"/>
  <c r="F639" i="2"/>
  <c r="H639" i="2"/>
  <c r="I639" i="2"/>
  <c r="U638" i="2"/>
  <c r="N638" i="2"/>
  <c r="F638" i="2"/>
  <c r="H638" i="2"/>
  <c r="I638" i="2"/>
  <c r="U637" i="2"/>
  <c r="N637" i="2"/>
  <c r="F637" i="2"/>
  <c r="H637" i="2"/>
  <c r="I637" i="2"/>
  <c r="U636" i="2"/>
  <c r="N636" i="2"/>
  <c r="F636" i="2"/>
  <c r="H636" i="2"/>
  <c r="I636" i="2"/>
  <c r="U635" i="2"/>
  <c r="N635" i="2"/>
  <c r="F635" i="2"/>
  <c r="H635" i="2"/>
  <c r="I635" i="2"/>
  <c r="X30" i="45"/>
  <c r="AA28" i="45"/>
  <c r="X28" i="45"/>
  <c r="U634" i="2"/>
  <c r="N634" i="2"/>
  <c r="F634" i="2"/>
  <c r="H634" i="2"/>
  <c r="I634" i="2"/>
  <c r="U633" i="2"/>
  <c r="N633" i="2"/>
  <c r="F633" i="2"/>
  <c r="H633" i="2"/>
  <c r="I633" i="2"/>
  <c r="U632" i="2"/>
  <c r="N632" i="2"/>
  <c r="F632" i="2"/>
  <c r="H632" i="2"/>
  <c r="I632" i="2"/>
  <c r="U631" i="2"/>
  <c r="N631" i="2"/>
  <c r="F631" i="2"/>
  <c r="H631" i="2"/>
  <c r="I631" i="2"/>
  <c r="U630" i="2"/>
  <c r="N630" i="2"/>
  <c r="F630" i="2"/>
  <c r="H630" i="2"/>
  <c r="I630" i="2"/>
  <c r="U629" i="2"/>
  <c r="N629" i="2"/>
  <c r="F629" i="2"/>
  <c r="H629" i="2"/>
  <c r="I629" i="2"/>
  <c r="AA36" i="45"/>
  <c r="F628" i="2"/>
  <c r="H628" i="2"/>
  <c r="I628" i="2"/>
  <c r="U628" i="2"/>
  <c r="N628" i="2"/>
  <c r="E39" i="39"/>
  <c r="T76" i="45"/>
  <c r="E38" i="39"/>
  <c r="T75" i="45"/>
  <c r="E37" i="39"/>
  <c r="T74" i="45"/>
  <c r="D37" i="39"/>
  <c r="U627" i="2"/>
  <c r="N627" i="2"/>
  <c r="F627" i="2"/>
  <c r="H627" i="2"/>
  <c r="I627" i="2"/>
  <c r="F626" i="2"/>
  <c r="H626" i="2"/>
  <c r="I626" i="2"/>
  <c r="U626" i="2"/>
  <c r="N626" i="2"/>
  <c r="G175" i="9"/>
  <c r="G177" i="9"/>
  <c r="G179" i="9"/>
  <c r="U625" i="2"/>
  <c r="N625" i="2"/>
  <c r="F625" i="2"/>
  <c r="H625" i="2"/>
  <c r="I625" i="2"/>
  <c r="U624" i="2"/>
  <c r="N624" i="2"/>
  <c r="F624" i="2"/>
  <c r="H624" i="2"/>
  <c r="I624" i="2"/>
  <c r="AH14" i="45"/>
  <c r="AE14" i="45"/>
  <c r="F623" i="2"/>
  <c r="H623" i="2"/>
  <c r="I623" i="2"/>
  <c r="U623" i="2"/>
  <c r="N623" i="2"/>
  <c r="E36" i="39"/>
  <c r="T73" i="45"/>
  <c r="D36" i="39"/>
  <c r="G173" i="9"/>
  <c r="U622" i="2"/>
  <c r="N622" i="2"/>
  <c r="F622" i="2"/>
  <c r="H622" i="2"/>
  <c r="I622" i="2"/>
  <c r="U621" i="2"/>
  <c r="N621" i="2"/>
  <c r="F621" i="2"/>
  <c r="H621" i="2"/>
  <c r="I621" i="2"/>
  <c r="H601" i="2"/>
  <c r="I601" i="2"/>
  <c r="F602" i="2"/>
  <c r="H602" i="2"/>
  <c r="I602" i="2"/>
  <c r="F603" i="2"/>
  <c r="H603" i="2"/>
  <c r="I603" i="2"/>
  <c r="F604" i="2"/>
  <c r="H604" i="2"/>
  <c r="I604" i="2"/>
  <c r="F605" i="2"/>
  <c r="H605" i="2"/>
  <c r="I605" i="2"/>
  <c r="F606" i="2"/>
  <c r="H606" i="2"/>
  <c r="I606" i="2"/>
  <c r="F607" i="2"/>
  <c r="H607" i="2"/>
  <c r="I607" i="2"/>
  <c r="F608" i="2"/>
  <c r="H608" i="2"/>
  <c r="I608" i="2"/>
  <c r="F609" i="2"/>
  <c r="H609" i="2"/>
  <c r="I609" i="2"/>
  <c r="H611" i="2"/>
  <c r="I611" i="2"/>
  <c r="F612" i="2"/>
  <c r="H612" i="2"/>
  <c r="I612" i="2"/>
  <c r="F613" i="2"/>
  <c r="H613" i="2"/>
  <c r="I613" i="2"/>
  <c r="F614" i="2"/>
  <c r="H614" i="2"/>
  <c r="I614" i="2"/>
  <c r="F615" i="2"/>
  <c r="H615" i="2"/>
  <c r="I615" i="2"/>
  <c r="F616" i="2"/>
  <c r="H616" i="2"/>
  <c r="I616" i="2"/>
  <c r="F617" i="2"/>
  <c r="H617" i="2"/>
  <c r="I617" i="2"/>
  <c r="F618" i="2"/>
  <c r="H618" i="2"/>
  <c r="I618" i="2"/>
  <c r="F619" i="2"/>
  <c r="H619" i="2"/>
  <c r="I619" i="2"/>
  <c r="F620" i="2"/>
  <c r="H620" i="2"/>
  <c r="I620" i="2"/>
  <c r="H593" i="2"/>
  <c r="I593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AA590" i="2"/>
  <c r="AA593" i="2"/>
  <c r="AA594" i="2"/>
  <c r="AA595" i="2"/>
  <c r="AA601" i="2"/>
  <c r="AA602" i="2"/>
  <c r="AA603" i="2"/>
  <c r="AA609" i="2"/>
  <c r="D610" i="2"/>
  <c r="AA611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591" i="2"/>
  <c r="U592" i="2"/>
  <c r="U593" i="2"/>
  <c r="H581" i="2"/>
  <c r="I581" i="2"/>
  <c r="AA581" i="2"/>
  <c r="AA582" i="2"/>
  <c r="AA565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N593" i="2"/>
  <c r="N592" i="2"/>
  <c r="N59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D596" i="2"/>
  <c r="D597" i="2"/>
  <c r="D598" i="2"/>
  <c r="D599" i="2"/>
  <c r="D600" i="2"/>
  <c r="I596" i="2"/>
  <c r="F610" i="2"/>
  <c r="F611" i="2"/>
  <c r="I610" i="2"/>
  <c r="H610" i="2"/>
  <c r="H566" i="2"/>
  <c r="G171" i="9"/>
  <c r="G169" i="9"/>
  <c r="G167" i="9"/>
  <c r="G165" i="9"/>
  <c r="G163" i="9"/>
  <c r="D2" i="50"/>
  <c r="D3" i="50"/>
  <c r="D4" i="50"/>
  <c r="D5" i="50"/>
  <c r="D6" i="50"/>
  <c r="D7" i="50"/>
  <c r="D8" i="50"/>
  <c r="D9" i="50"/>
  <c r="D10" i="50"/>
  <c r="D11" i="50"/>
  <c r="D12" i="50"/>
  <c r="D13" i="50"/>
  <c r="D14" i="50"/>
  <c r="D15" i="50"/>
  <c r="D16" i="50"/>
  <c r="D17" i="50"/>
  <c r="D18" i="50"/>
  <c r="D19" i="50"/>
  <c r="D1" i="50"/>
  <c r="N595" i="2"/>
  <c r="D20" i="50"/>
  <c r="D23" i="50"/>
  <c r="AH4" i="45"/>
  <c r="U594" i="2"/>
  <c r="U595" i="2"/>
  <c r="N594" i="2"/>
  <c r="F594" i="2"/>
  <c r="H594" i="2"/>
  <c r="I594" i="2"/>
  <c r="F595" i="2"/>
  <c r="H595" i="2"/>
  <c r="I595" i="2"/>
  <c r="G161" i="9"/>
  <c r="G159" i="9"/>
  <c r="U590" i="2"/>
  <c r="N590" i="2"/>
  <c r="F590" i="2"/>
  <c r="H590" i="2"/>
  <c r="I590" i="2"/>
  <c r="F589" i="2"/>
  <c r="H589" i="2"/>
  <c r="I589" i="2"/>
  <c r="AH22" i="45"/>
  <c r="D6" i="39"/>
  <c r="D7" i="39"/>
  <c r="D21" i="44"/>
  <c r="D9" i="39"/>
  <c r="J44" i="45"/>
  <c r="D10" i="39"/>
  <c r="D13" i="44"/>
  <c r="D13" i="39"/>
  <c r="AE16" i="45"/>
  <c r="D11" i="44"/>
  <c r="D19" i="44"/>
  <c r="U589" i="2"/>
  <c r="N589" i="2"/>
  <c r="U588" i="2"/>
  <c r="N588" i="2"/>
  <c r="F588" i="2"/>
  <c r="H588" i="2"/>
  <c r="I588" i="2"/>
  <c r="Q6" i="39"/>
  <c r="Q7" i="39"/>
  <c r="Q9" i="39"/>
  <c r="Q14" i="39"/>
  <c r="U587" i="2"/>
  <c r="N587" i="2"/>
  <c r="F587" i="2"/>
  <c r="H587" i="2"/>
  <c r="I587" i="2"/>
  <c r="U584" i="2"/>
  <c r="U585" i="2"/>
  <c r="U586" i="2"/>
  <c r="N584" i="2"/>
  <c r="N585" i="2"/>
  <c r="N586" i="2"/>
  <c r="N583" i="2"/>
  <c r="H584" i="2"/>
  <c r="I584" i="2"/>
  <c r="H585" i="2"/>
  <c r="I585" i="2"/>
  <c r="H586" i="2"/>
  <c r="I586" i="2"/>
  <c r="F584" i="2"/>
  <c r="F585" i="2"/>
  <c r="F586" i="2"/>
  <c r="U583" i="2"/>
  <c r="F583" i="2"/>
  <c r="H583" i="2"/>
  <c r="I583" i="2"/>
  <c r="U581" i="2"/>
  <c r="U582" i="2"/>
  <c r="N581" i="2"/>
  <c r="N582" i="2"/>
  <c r="I582" i="2"/>
  <c r="H582" i="2"/>
  <c r="F582" i="2"/>
  <c r="U565" i="2"/>
  <c r="N565" i="2"/>
  <c r="H565" i="2"/>
  <c r="U564" i="2"/>
  <c r="N564" i="2"/>
  <c r="H564" i="2"/>
  <c r="F566" i="2"/>
  <c r="I565" i="2"/>
  <c r="F565" i="2"/>
  <c r="I564" i="2"/>
  <c r="U563" i="2"/>
  <c r="N563" i="2"/>
  <c r="I563" i="2"/>
  <c r="H563" i="2"/>
  <c r="U562" i="2"/>
  <c r="N562" i="2"/>
  <c r="I562" i="2"/>
  <c r="F563" i="2"/>
  <c r="H562" i="2"/>
  <c r="U561" i="2"/>
  <c r="N561" i="2"/>
  <c r="H561" i="2"/>
  <c r="U560" i="2"/>
  <c r="N560" i="2"/>
  <c r="I560" i="2"/>
  <c r="F561" i="2"/>
  <c r="H560" i="2"/>
  <c r="U559" i="2"/>
  <c r="N559" i="2"/>
  <c r="F560" i="2"/>
  <c r="U558" i="2"/>
  <c r="N558" i="2"/>
  <c r="H558" i="2"/>
  <c r="I558" i="2"/>
  <c r="F558" i="2"/>
  <c r="N557" i="2"/>
  <c r="U557" i="2"/>
  <c r="X16" i="45"/>
  <c r="G157" i="9"/>
  <c r="G155" i="9"/>
  <c r="U556" i="2"/>
  <c r="N556" i="2"/>
  <c r="I556" i="2"/>
  <c r="H556" i="2"/>
  <c r="U555" i="2"/>
  <c r="N555" i="2"/>
  <c r="F556" i="2"/>
  <c r="I555" i="2"/>
  <c r="H555" i="2"/>
  <c r="I551" i="2"/>
  <c r="U552" i="2"/>
  <c r="U551" i="2"/>
  <c r="N552" i="2"/>
  <c r="N551" i="2"/>
  <c r="H551" i="2"/>
  <c r="U554" i="2"/>
  <c r="N554" i="2"/>
  <c r="H554" i="2"/>
  <c r="I554" i="2"/>
  <c r="F555" i="2"/>
  <c r="U553" i="2"/>
  <c r="N553" i="2"/>
  <c r="F554" i="2"/>
  <c r="I553" i="2"/>
  <c r="H552" i="2"/>
  <c r="I552" i="2"/>
  <c r="F552" i="2"/>
  <c r="F553" i="2"/>
  <c r="H553" i="2"/>
  <c r="U550" i="2"/>
  <c r="N550" i="2"/>
  <c r="U549" i="2"/>
  <c r="N549" i="2"/>
  <c r="U548" i="2"/>
  <c r="N548" i="2"/>
  <c r="I548" i="2"/>
  <c r="I549" i="2"/>
  <c r="H549" i="2"/>
  <c r="N547" i="2"/>
  <c r="U547" i="2"/>
  <c r="U546" i="2"/>
  <c r="N546" i="2"/>
  <c r="H546" i="2"/>
  <c r="U545" i="2"/>
  <c r="N545" i="2"/>
  <c r="U544" i="2"/>
  <c r="N544" i="2"/>
  <c r="F544" i="2"/>
  <c r="I547" i="2"/>
  <c r="F546" i="2"/>
  <c r="H547" i="2"/>
  <c r="H545" i="2"/>
  <c r="F547" i="2"/>
  <c r="I545" i="2"/>
  <c r="F545" i="2"/>
  <c r="I546" i="2"/>
  <c r="I544" i="2"/>
  <c r="H544" i="2"/>
  <c r="E5" i="44"/>
  <c r="L5" i="44"/>
  <c r="K5" i="44"/>
  <c r="M5" i="44"/>
  <c r="C5" i="44"/>
  <c r="I478" i="2"/>
  <c r="I479" i="2"/>
  <c r="I480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43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U543" i="2"/>
  <c r="H543" i="2"/>
  <c r="U542" i="2"/>
  <c r="U541" i="2"/>
  <c r="H542" i="2"/>
  <c r="I542" i="2"/>
  <c r="F543" i="2"/>
  <c r="F542" i="2"/>
  <c r="G153" i="9"/>
  <c r="U540" i="2"/>
  <c r="F540" i="2"/>
  <c r="H540" i="2"/>
  <c r="F541" i="2"/>
  <c r="D5" i="44"/>
  <c r="G5" i="44"/>
  <c r="U539" i="2"/>
  <c r="I539" i="2"/>
  <c r="E23" i="44"/>
  <c r="M19" i="44"/>
  <c r="C7" i="44"/>
  <c r="C6" i="44"/>
  <c r="C10" i="44"/>
  <c r="C12" i="44"/>
  <c r="C22" i="44"/>
  <c r="C13" i="44"/>
  <c r="C15" i="44"/>
  <c r="C18" i="44"/>
  <c r="C9" i="44"/>
  <c r="C8" i="44"/>
  <c r="C11" i="44"/>
  <c r="C14" i="44"/>
  <c r="C17" i="44"/>
  <c r="C19" i="44"/>
  <c r="C16" i="44"/>
  <c r="C20" i="44"/>
  <c r="C21" i="44"/>
  <c r="D23" i="44"/>
  <c r="J5" i="44"/>
  <c r="I5" i="44"/>
  <c r="H539" i="2"/>
  <c r="E15" i="27"/>
  <c r="D15" i="27"/>
  <c r="C15" i="27"/>
  <c r="B15" i="27"/>
  <c r="H5" i="6"/>
  <c r="E14" i="6"/>
  <c r="E15" i="6"/>
  <c r="E16" i="6"/>
  <c r="E5" i="6"/>
  <c r="U538" i="2"/>
  <c r="F538" i="2"/>
  <c r="G151" i="9"/>
  <c r="G149" i="9"/>
  <c r="U537" i="2"/>
  <c r="H537" i="2"/>
  <c r="F539" i="2"/>
  <c r="G7" i="44"/>
  <c r="G20" i="44"/>
  <c r="G21" i="44"/>
  <c r="G6" i="44"/>
  <c r="G10" i="44"/>
  <c r="G12" i="44"/>
  <c r="G22" i="44"/>
  <c r="G13" i="44"/>
  <c r="G15" i="44"/>
  <c r="G18" i="44"/>
  <c r="G9" i="44"/>
  <c r="G8" i="44"/>
  <c r="G11" i="44"/>
  <c r="G14" i="44"/>
  <c r="G17" i="44"/>
  <c r="M9" i="44"/>
  <c r="I536" i="2"/>
  <c r="U536" i="2"/>
  <c r="U535" i="2"/>
  <c r="I535" i="2"/>
  <c r="H536" i="2"/>
  <c r="F536" i="2"/>
  <c r="H535" i="2"/>
  <c r="U534" i="2"/>
  <c r="I534" i="2"/>
  <c r="F535" i="2"/>
  <c r="H534" i="2"/>
  <c r="R71" i="2"/>
  <c r="K9" i="44"/>
  <c r="G147" i="9"/>
  <c r="I533" i="2"/>
  <c r="U533" i="2"/>
  <c r="U532" i="2"/>
  <c r="J52" i="39"/>
  <c r="J49" i="39"/>
  <c r="G145" i="9"/>
  <c r="M14" i="44"/>
  <c r="K14" i="44"/>
  <c r="M17" i="44"/>
  <c r="K17" i="44"/>
  <c r="M7" i="44"/>
  <c r="K7" i="44"/>
  <c r="U531" i="2"/>
  <c r="E18" i="45"/>
  <c r="L18" i="45"/>
  <c r="K8" i="44"/>
  <c r="M8" i="44"/>
  <c r="H531" i="2"/>
  <c r="I531" i="2"/>
  <c r="I532" i="2"/>
  <c r="E9" i="44"/>
  <c r="D9" i="44"/>
  <c r="H533" i="2"/>
  <c r="F534" i="2"/>
  <c r="H532" i="2"/>
  <c r="F532" i="2"/>
  <c r="F533" i="2"/>
  <c r="M16" i="44"/>
  <c r="M20" i="44"/>
  <c r="M21" i="44"/>
  <c r="M6" i="44"/>
  <c r="M10" i="44"/>
  <c r="M12" i="44"/>
  <c r="M22" i="44"/>
  <c r="M13" i="44"/>
  <c r="M15" i="44"/>
  <c r="M18" i="44"/>
  <c r="M11" i="44"/>
  <c r="K16" i="44"/>
  <c r="K20" i="44"/>
  <c r="K21" i="44"/>
  <c r="K6" i="44"/>
  <c r="K10" i="44"/>
  <c r="K12" i="44"/>
  <c r="K22" i="44"/>
  <c r="K13" i="44"/>
  <c r="K15" i="44"/>
  <c r="K18" i="44"/>
  <c r="K11" i="44"/>
  <c r="K19" i="44"/>
  <c r="U53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I526" i="2"/>
  <c r="I525" i="2"/>
  <c r="F524" i="2"/>
  <c r="U529" i="2"/>
  <c r="U528" i="2"/>
  <c r="U527" i="2"/>
  <c r="U526" i="2"/>
  <c r="U525" i="2"/>
  <c r="U524" i="2"/>
  <c r="U523" i="2"/>
  <c r="U522" i="2"/>
  <c r="H529" i="2"/>
  <c r="I529" i="2"/>
  <c r="H522" i="2"/>
  <c r="H524" i="2"/>
  <c r="I524" i="2"/>
  <c r="H526" i="2"/>
  <c r="H528" i="2"/>
  <c r="I528" i="2"/>
  <c r="H530" i="2"/>
  <c r="I530" i="2"/>
  <c r="L9" i="44"/>
  <c r="N9" i="44"/>
  <c r="J9" i="44"/>
  <c r="I9" i="44"/>
  <c r="F529" i="2"/>
  <c r="F526" i="2"/>
  <c r="F530" i="2"/>
  <c r="F531" i="2"/>
  <c r="H525" i="2"/>
  <c r="F525" i="2"/>
  <c r="G143" i="9"/>
  <c r="U521" i="2"/>
  <c r="F521" i="2"/>
  <c r="H521" i="2"/>
  <c r="U520" i="2"/>
  <c r="F520" i="2"/>
  <c r="H520" i="2"/>
  <c r="U519" i="2"/>
  <c r="F519" i="2"/>
  <c r="H519" i="2"/>
  <c r="U518" i="2"/>
  <c r="F518" i="2"/>
  <c r="H518" i="2"/>
  <c r="T22" i="45"/>
  <c r="M50" i="45"/>
  <c r="X14" i="45"/>
  <c r="Q28" i="45"/>
  <c r="Q14" i="45"/>
  <c r="J42" i="45"/>
  <c r="D16" i="44"/>
  <c r="D20" i="44"/>
  <c r="D6" i="44"/>
  <c r="D10" i="44"/>
  <c r="D22" i="44"/>
  <c r="G141" i="9"/>
  <c r="G139" i="9"/>
  <c r="G137" i="9"/>
  <c r="G135" i="9"/>
  <c r="U517" i="2"/>
  <c r="F517" i="2"/>
  <c r="H517" i="2"/>
  <c r="E18" i="44"/>
  <c r="N18" i="44"/>
  <c r="E22" i="44"/>
  <c r="L22" i="44"/>
  <c r="E7" i="44"/>
  <c r="N7" i="44"/>
  <c r="D7" i="44"/>
  <c r="D18" i="44"/>
  <c r="D8" i="44"/>
  <c r="D17" i="44"/>
  <c r="Q30" i="45"/>
  <c r="D15" i="44"/>
  <c r="T28" i="45"/>
  <c r="AA14" i="45"/>
  <c r="I22" i="44"/>
  <c r="U516" i="2"/>
  <c r="F516" i="2"/>
  <c r="H516" i="2"/>
  <c r="G133" i="9"/>
  <c r="G131" i="9"/>
  <c r="G129" i="9"/>
  <c r="G127" i="9"/>
  <c r="G125" i="9"/>
  <c r="G123" i="9"/>
  <c r="G121" i="9"/>
  <c r="U515" i="2"/>
  <c r="F515" i="2"/>
  <c r="H515" i="2"/>
  <c r="F50" i="45"/>
  <c r="C42" i="45"/>
  <c r="N22" i="44"/>
  <c r="L7" i="44"/>
  <c r="I18" i="44"/>
  <c r="E11" i="44"/>
  <c r="L11" i="44"/>
  <c r="J7" i="44"/>
  <c r="J18" i="44"/>
  <c r="J22" i="44"/>
  <c r="I7" i="44"/>
  <c r="U514" i="2"/>
  <c r="F514" i="2"/>
  <c r="H514" i="2"/>
  <c r="G119" i="9"/>
  <c r="G117" i="9"/>
  <c r="G115" i="9"/>
  <c r="U513" i="2"/>
  <c r="F513" i="2"/>
  <c r="H513" i="2"/>
  <c r="I11" i="44"/>
  <c r="J11" i="44"/>
  <c r="U512" i="2"/>
  <c r="U511" i="2"/>
  <c r="F511" i="2"/>
  <c r="H511" i="2"/>
  <c r="F512" i="2"/>
  <c r="H512" i="2"/>
  <c r="U510" i="2"/>
  <c r="F510" i="2"/>
  <c r="H510" i="2"/>
  <c r="U509" i="2"/>
  <c r="F509" i="2"/>
  <c r="H509" i="2"/>
  <c r="Z86" i="45"/>
  <c r="U507" i="2"/>
  <c r="U508" i="2"/>
  <c r="F507" i="2"/>
  <c r="H507" i="2"/>
  <c r="F508" i="2"/>
  <c r="H508" i="2"/>
  <c r="X86" i="45"/>
  <c r="T86" i="45"/>
  <c r="R86" i="45"/>
  <c r="G113" i="9"/>
  <c r="G111" i="9"/>
  <c r="G109" i="9"/>
  <c r="U506" i="2"/>
  <c r="F506" i="2"/>
  <c r="H506" i="2"/>
  <c r="U505" i="2"/>
  <c r="F505" i="2"/>
  <c r="H505" i="2"/>
  <c r="U504" i="2"/>
  <c r="F504" i="2"/>
  <c r="H504" i="2"/>
  <c r="I107" i="9"/>
  <c r="G107" i="9"/>
  <c r="U503" i="2"/>
  <c r="F503" i="2"/>
  <c r="H503" i="2"/>
  <c r="U502" i="2"/>
  <c r="F502" i="2"/>
  <c r="H502" i="2"/>
  <c r="F501" i="2"/>
  <c r="H501" i="2"/>
  <c r="U501" i="2"/>
  <c r="U500" i="2"/>
  <c r="F500" i="2"/>
  <c r="H500" i="2"/>
  <c r="U499" i="2"/>
  <c r="F499" i="2"/>
  <c r="H499" i="2"/>
  <c r="C28" i="45"/>
  <c r="C14" i="45"/>
  <c r="F36" i="45"/>
  <c r="J86" i="45"/>
  <c r="F86" i="45"/>
  <c r="D86" i="45"/>
  <c r="T36" i="45"/>
  <c r="G105" i="9"/>
  <c r="U498" i="2"/>
  <c r="F498" i="2"/>
  <c r="H498" i="2"/>
  <c r="U497" i="2"/>
  <c r="F497" i="2"/>
  <c r="H497" i="2"/>
  <c r="U496" i="2"/>
  <c r="F496" i="2"/>
  <c r="H496" i="2"/>
  <c r="U495" i="2"/>
  <c r="F495" i="2"/>
  <c r="H495" i="2"/>
  <c r="U494" i="2"/>
  <c r="F494" i="2"/>
  <c r="H494" i="2"/>
  <c r="U493" i="2"/>
  <c r="F493" i="2"/>
  <c r="H493" i="2"/>
  <c r="U492" i="2"/>
  <c r="F492" i="2"/>
  <c r="H492" i="2"/>
  <c r="U491" i="2"/>
  <c r="F491" i="2"/>
  <c r="H491" i="2"/>
  <c r="E20" i="44"/>
  <c r="N20" i="44"/>
  <c r="I20" i="44"/>
  <c r="T14" i="45"/>
  <c r="M42" i="45"/>
  <c r="F42" i="45"/>
  <c r="F14" i="45"/>
  <c r="F28" i="45"/>
  <c r="L20" i="44"/>
  <c r="J20" i="44"/>
  <c r="E6" i="6"/>
  <c r="G16" i="44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L86" i="45"/>
  <c r="I18" i="1"/>
  <c r="I16" i="1"/>
  <c r="F7" i="44"/>
  <c r="F5" i="44"/>
  <c r="H5" i="44"/>
  <c r="H24" i="44"/>
  <c r="G19" i="44"/>
  <c r="C30" i="45"/>
  <c r="E34" i="6"/>
  <c r="F9" i="44"/>
  <c r="H9" i="44"/>
  <c r="E32" i="6"/>
  <c r="E33" i="6"/>
  <c r="E35" i="6"/>
  <c r="E30" i="6"/>
  <c r="E31" i="6"/>
  <c r="AH8" i="45"/>
  <c r="U490" i="2"/>
  <c r="U489" i="2"/>
  <c r="F489" i="2"/>
  <c r="F490" i="2"/>
  <c r="H489" i="2"/>
  <c r="H490" i="2"/>
  <c r="U488" i="2"/>
  <c r="F488" i="2"/>
  <c r="H488" i="2"/>
  <c r="I21" i="1"/>
  <c r="W5" i="1"/>
  <c r="W477" i="2"/>
  <c r="W476" i="2"/>
  <c r="W475" i="2"/>
  <c r="W474" i="2"/>
  <c r="W473" i="2"/>
  <c r="W472" i="2"/>
  <c r="W471" i="2"/>
  <c r="W470" i="2"/>
  <c r="W469" i="2"/>
  <c r="W468" i="2"/>
  <c r="W467" i="2"/>
  <c r="W466" i="2"/>
  <c r="W465" i="2"/>
  <c r="W464" i="2"/>
  <c r="W463" i="2"/>
  <c r="W462" i="2"/>
  <c r="W461" i="2"/>
  <c r="W460" i="2"/>
  <c r="W459" i="2"/>
  <c r="W458" i="2"/>
  <c r="W457" i="2"/>
  <c r="W456" i="2"/>
  <c r="W455" i="2"/>
  <c r="W454" i="2"/>
  <c r="W453" i="2"/>
  <c r="W452" i="2"/>
  <c r="W451" i="2"/>
  <c r="W450" i="2"/>
  <c r="W449" i="2"/>
  <c r="W448" i="2"/>
  <c r="W447" i="2"/>
  <c r="W446" i="2"/>
  <c r="W445" i="2"/>
  <c r="W444" i="2"/>
  <c r="W443" i="2"/>
  <c r="W442" i="2"/>
  <c r="W441" i="2"/>
  <c r="W440" i="2"/>
  <c r="W439" i="2"/>
  <c r="W438" i="2"/>
  <c r="W437" i="2"/>
  <c r="W436" i="2"/>
  <c r="W435" i="2"/>
  <c r="W434" i="2"/>
  <c r="W433" i="2"/>
  <c r="W432" i="2"/>
  <c r="W431" i="2"/>
  <c r="W430" i="2"/>
  <c r="W429" i="2"/>
  <c r="W428" i="2"/>
  <c r="W427" i="2"/>
  <c r="W426" i="2"/>
  <c r="W425" i="2"/>
  <c r="W424" i="2"/>
  <c r="W423" i="2"/>
  <c r="W422" i="2"/>
  <c r="W421" i="2"/>
  <c r="W420" i="2"/>
  <c r="W419" i="2"/>
  <c r="W418" i="2"/>
  <c r="W417" i="2"/>
  <c r="W416" i="2"/>
  <c r="W415" i="2"/>
  <c r="W414" i="2"/>
  <c r="W413" i="2"/>
  <c r="W412" i="2"/>
  <c r="W411" i="2"/>
  <c r="W410" i="2"/>
  <c r="W409" i="2"/>
  <c r="W408" i="2"/>
  <c r="W407" i="2"/>
  <c r="W406" i="2"/>
  <c r="W405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90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2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5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1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U478" i="2"/>
  <c r="U479" i="2"/>
  <c r="U480" i="2"/>
  <c r="U481" i="2"/>
  <c r="U482" i="2"/>
  <c r="U483" i="2"/>
  <c r="U484" i="2"/>
  <c r="U485" i="2"/>
  <c r="U486" i="2"/>
  <c r="U487" i="2"/>
  <c r="Q22" i="1"/>
  <c r="Z25" i="1"/>
  <c r="AA25" i="1"/>
  <c r="W25" i="1"/>
  <c r="X25" i="1"/>
  <c r="AA23" i="1"/>
  <c r="Z23" i="1"/>
  <c r="W23" i="1"/>
  <c r="Q25" i="1"/>
  <c r="AA8" i="1"/>
  <c r="Z8" i="1"/>
  <c r="W8" i="1"/>
  <c r="Q8" i="1"/>
  <c r="H8" i="1"/>
  <c r="I7" i="1"/>
  <c r="I25" i="1"/>
  <c r="I24" i="1"/>
  <c r="I23" i="1"/>
  <c r="I22" i="1"/>
  <c r="I20" i="1"/>
  <c r="I19" i="1"/>
  <c r="I17" i="1"/>
  <c r="I15" i="1"/>
  <c r="I14" i="1"/>
  <c r="I13" i="1"/>
  <c r="I12" i="1"/>
  <c r="I11" i="1"/>
  <c r="I10" i="1"/>
  <c r="I9" i="1"/>
  <c r="H487" i="2"/>
  <c r="F487" i="2"/>
  <c r="H22" i="1"/>
  <c r="H25" i="1"/>
  <c r="O8" i="1"/>
  <c r="P8" i="1"/>
  <c r="H4" i="1"/>
  <c r="AA24" i="1"/>
  <c r="Z24" i="1"/>
  <c r="W24" i="1"/>
  <c r="Q24" i="1"/>
  <c r="N22" i="1"/>
  <c r="M25" i="1"/>
  <c r="P22" i="1"/>
  <c r="O22" i="1"/>
  <c r="M22" i="1"/>
  <c r="P25" i="1"/>
  <c r="O25" i="1"/>
  <c r="N25" i="1"/>
  <c r="H24" i="1"/>
  <c r="Q21" i="1"/>
  <c r="X24" i="1"/>
  <c r="H21" i="1"/>
  <c r="P24" i="1"/>
  <c r="O24" i="1"/>
  <c r="M24" i="1"/>
  <c r="N24" i="1"/>
  <c r="F486" i="2"/>
  <c r="H486" i="2"/>
  <c r="AA19" i="1"/>
  <c r="AA20" i="1"/>
  <c r="Z20" i="1"/>
  <c r="W20" i="1"/>
  <c r="H484" i="2"/>
  <c r="H485" i="2"/>
  <c r="F484" i="2"/>
  <c r="F485" i="2"/>
  <c r="P21" i="1"/>
  <c r="O21" i="1"/>
  <c r="N21" i="1"/>
  <c r="M21" i="1"/>
  <c r="Q23" i="1"/>
  <c r="H483" i="2"/>
  <c r="F483" i="2"/>
  <c r="H482" i="2"/>
  <c r="F481" i="2"/>
  <c r="I481" i="2"/>
  <c r="H481" i="2"/>
  <c r="Q20" i="1"/>
  <c r="Z19" i="1"/>
  <c r="W19" i="1"/>
  <c r="X19" i="1"/>
  <c r="Q19" i="1"/>
  <c r="H23" i="1"/>
  <c r="H18" i="1"/>
  <c r="F480" i="2"/>
  <c r="H480" i="2"/>
  <c r="P23" i="1"/>
  <c r="O23" i="1"/>
  <c r="N23" i="1"/>
  <c r="M23" i="1"/>
  <c r="P18" i="1"/>
  <c r="O18" i="1"/>
  <c r="N18" i="1"/>
  <c r="M18" i="1"/>
  <c r="F479" i="2"/>
  <c r="H479" i="2"/>
  <c r="I470" i="2"/>
  <c r="I469" i="2"/>
  <c r="I468" i="2"/>
  <c r="H467" i="2"/>
  <c r="I466" i="2"/>
  <c r="H465" i="2"/>
  <c r="F462" i="2"/>
  <c r="H462" i="2"/>
  <c r="I462" i="2"/>
  <c r="I456" i="2"/>
  <c r="H456" i="2"/>
  <c r="F457" i="2"/>
  <c r="F456" i="2"/>
  <c r="I445" i="2"/>
  <c r="I446" i="2"/>
  <c r="I447" i="2"/>
  <c r="I448" i="2"/>
  <c r="F449" i="2"/>
  <c r="H445" i="2"/>
  <c r="H446" i="2"/>
  <c r="H447" i="2"/>
  <c r="H448" i="2"/>
  <c r="F445" i="2"/>
  <c r="F446" i="2"/>
  <c r="F447" i="2"/>
  <c r="F448" i="2"/>
  <c r="N471" i="2"/>
  <c r="N470" i="2"/>
  <c r="N469" i="2"/>
  <c r="N468" i="2"/>
  <c r="N467" i="2"/>
  <c r="N466" i="2"/>
  <c r="N465" i="2"/>
  <c r="N462" i="2"/>
  <c r="N456" i="2"/>
  <c r="N448" i="2"/>
  <c r="N447" i="2"/>
  <c r="N446" i="2"/>
  <c r="N445" i="2"/>
  <c r="Q18" i="1"/>
  <c r="Q17" i="1"/>
  <c r="Q16" i="1"/>
  <c r="Q15" i="1"/>
  <c r="Q14" i="1"/>
  <c r="Q13" i="1"/>
  <c r="Q12" i="1"/>
  <c r="Q11" i="1"/>
  <c r="Q10" i="1"/>
  <c r="Q9" i="1"/>
  <c r="Q7" i="1"/>
  <c r="Q6" i="1"/>
  <c r="Q5" i="1"/>
  <c r="K27" i="1"/>
  <c r="F478" i="2"/>
  <c r="H478" i="2"/>
  <c r="N477" i="2"/>
  <c r="I477" i="2"/>
  <c r="H477" i="2"/>
  <c r="F477" i="2"/>
  <c r="I5" i="1"/>
  <c r="N476" i="2"/>
  <c r="I476" i="2"/>
  <c r="H476" i="2"/>
  <c r="F476" i="2"/>
  <c r="N475" i="2"/>
  <c r="I475" i="2"/>
  <c r="H475" i="2"/>
  <c r="F475" i="2"/>
  <c r="F474" i="2"/>
  <c r="N474" i="2"/>
  <c r="I474" i="2"/>
  <c r="H474" i="2"/>
  <c r="H473" i="2"/>
  <c r="I473" i="2"/>
  <c r="F473" i="2"/>
  <c r="N473" i="2"/>
  <c r="N472" i="2"/>
  <c r="I472" i="2"/>
  <c r="H472" i="2"/>
  <c r="N464" i="2"/>
  <c r="I464" i="2"/>
  <c r="N463" i="2"/>
  <c r="F463" i="2"/>
  <c r="N461" i="2"/>
  <c r="N460" i="2"/>
  <c r="H460" i="2"/>
  <c r="AA9" i="1"/>
  <c r="AA10" i="1"/>
  <c r="AA11" i="1"/>
  <c r="AA12" i="1"/>
  <c r="AA13" i="1"/>
  <c r="AA14" i="1"/>
  <c r="AA15" i="1"/>
  <c r="AA16" i="1"/>
  <c r="AA17" i="1"/>
  <c r="AA18" i="1"/>
  <c r="AA21" i="1"/>
  <c r="AA22" i="1"/>
  <c r="AA7" i="1"/>
  <c r="Z9" i="1"/>
  <c r="Z10" i="1"/>
  <c r="Z11" i="1"/>
  <c r="Z12" i="1"/>
  <c r="Z13" i="1"/>
  <c r="Z14" i="1"/>
  <c r="Z15" i="1"/>
  <c r="Z16" i="1"/>
  <c r="Z17" i="1"/>
  <c r="Z18" i="1"/>
  <c r="Z21" i="1"/>
  <c r="Z22" i="1"/>
  <c r="Z7" i="1"/>
  <c r="W15" i="1"/>
  <c r="X15" i="1"/>
  <c r="W16" i="1"/>
  <c r="W17" i="1"/>
  <c r="X17" i="1"/>
  <c r="W18" i="1"/>
  <c r="X18" i="1"/>
  <c r="X20" i="1"/>
  <c r="W21" i="1"/>
  <c r="X21" i="1"/>
  <c r="W22" i="1"/>
  <c r="X22" i="1"/>
  <c r="X23" i="1"/>
  <c r="W14" i="1"/>
  <c r="X14" i="1"/>
  <c r="W13" i="1"/>
  <c r="X13" i="1"/>
  <c r="W12" i="1"/>
  <c r="X12" i="1"/>
  <c r="W11" i="1"/>
  <c r="X11" i="1"/>
  <c r="W10" i="1"/>
  <c r="X10" i="1"/>
  <c r="W9" i="1"/>
  <c r="X9" i="1"/>
  <c r="X8" i="1"/>
  <c r="W7" i="1"/>
  <c r="X7" i="1"/>
  <c r="N459" i="2"/>
  <c r="I457" i="2"/>
  <c r="I458" i="2"/>
  <c r="E5" i="1"/>
  <c r="H15" i="1"/>
  <c r="H16" i="1"/>
  <c r="H17" i="1"/>
  <c r="F458" i="2"/>
  <c r="N458" i="2"/>
  <c r="H458" i="2"/>
  <c r="H457" i="2"/>
  <c r="H455" i="2"/>
  <c r="I455" i="2"/>
  <c r="N457" i="2"/>
  <c r="N455" i="2"/>
  <c r="F455" i="2"/>
  <c r="N454" i="2"/>
  <c r="H454" i="2"/>
  <c r="I454" i="2"/>
  <c r="F454" i="2"/>
  <c r="N453" i="2"/>
  <c r="I453" i="2"/>
  <c r="H453" i="2"/>
  <c r="F453" i="2"/>
  <c r="N452" i="2"/>
  <c r="F452" i="2"/>
  <c r="H452" i="2"/>
  <c r="I452" i="2"/>
  <c r="N451" i="2"/>
  <c r="I450" i="2"/>
  <c r="I451" i="2"/>
  <c r="H451" i="2"/>
  <c r="F451" i="2"/>
  <c r="F450" i="2"/>
  <c r="N450" i="2"/>
  <c r="H450" i="2"/>
  <c r="N449" i="2"/>
  <c r="I449" i="2"/>
  <c r="H449" i="2"/>
  <c r="G89" i="9"/>
  <c r="G87" i="9"/>
  <c r="F444" i="2"/>
  <c r="H444" i="2"/>
  <c r="I444" i="2"/>
  <c r="N444" i="2"/>
  <c r="N443" i="2"/>
  <c r="N442" i="2"/>
  <c r="N441" i="2"/>
  <c r="N440" i="2"/>
  <c r="N439" i="2"/>
  <c r="N438" i="2"/>
  <c r="N437" i="2"/>
  <c r="N436" i="2"/>
  <c r="N435" i="2"/>
  <c r="F435" i="2"/>
  <c r="H435" i="2"/>
  <c r="I435" i="2"/>
  <c r="F436" i="2"/>
  <c r="H436" i="2"/>
  <c r="I436" i="2"/>
  <c r="F437" i="2"/>
  <c r="H437" i="2"/>
  <c r="I437" i="2"/>
  <c r="F438" i="2"/>
  <c r="H438" i="2"/>
  <c r="I438" i="2"/>
  <c r="F439" i="2"/>
  <c r="H439" i="2"/>
  <c r="I439" i="2"/>
  <c r="F440" i="2"/>
  <c r="H440" i="2"/>
  <c r="I440" i="2"/>
  <c r="F441" i="2"/>
  <c r="H441" i="2"/>
  <c r="I441" i="2"/>
  <c r="F442" i="2"/>
  <c r="H442" i="2"/>
  <c r="I442" i="2"/>
  <c r="F443" i="2"/>
  <c r="H443" i="2"/>
  <c r="I443" i="2"/>
  <c r="G85" i="9"/>
  <c r="F431" i="2"/>
  <c r="H431" i="2"/>
  <c r="I431" i="2"/>
  <c r="F432" i="2"/>
  <c r="H432" i="2"/>
  <c r="I432" i="2"/>
  <c r="F433" i="2"/>
  <c r="H433" i="2"/>
  <c r="I433" i="2"/>
  <c r="F434" i="2"/>
  <c r="H434" i="2"/>
  <c r="I434" i="2"/>
  <c r="G83" i="9"/>
  <c r="N434" i="2"/>
  <c r="N433" i="2"/>
  <c r="N432" i="2"/>
  <c r="N431" i="2"/>
  <c r="I6" i="1"/>
  <c r="G81" i="9"/>
  <c r="G79" i="9"/>
  <c r="F430" i="2"/>
  <c r="H430" i="2"/>
  <c r="I430" i="2"/>
  <c r="N430" i="2"/>
  <c r="F426" i="2"/>
  <c r="H426" i="2"/>
  <c r="I426" i="2"/>
  <c r="F427" i="2"/>
  <c r="H427" i="2"/>
  <c r="I427" i="2"/>
  <c r="F428" i="2"/>
  <c r="H428" i="2"/>
  <c r="I428" i="2"/>
  <c r="F429" i="2"/>
  <c r="H429" i="2"/>
  <c r="I429" i="2"/>
  <c r="N429" i="2"/>
  <c r="N428" i="2"/>
  <c r="N427" i="2"/>
  <c r="N426" i="2"/>
  <c r="F425" i="2"/>
  <c r="H425" i="2"/>
  <c r="I425" i="2"/>
  <c r="N425" i="2"/>
  <c r="F411" i="2"/>
  <c r="H411" i="2"/>
  <c r="I411" i="2"/>
  <c r="F412" i="2"/>
  <c r="H412" i="2"/>
  <c r="I412" i="2"/>
  <c r="F413" i="2"/>
  <c r="H413" i="2"/>
  <c r="I413" i="2"/>
  <c r="F414" i="2"/>
  <c r="H414" i="2"/>
  <c r="I414" i="2"/>
  <c r="F415" i="2"/>
  <c r="H415" i="2"/>
  <c r="I415" i="2"/>
  <c r="F416" i="2"/>
  <c r="H416" i="2"/>
  <c r="I416" i="2"/>
  <c r="F417" i="2"/>
  <c r="H417" i="2"/>
  <c r="I417" i="2"/>
  <c r="F418" i="2"/>
  <c r="H418" i="2"/>
  <c r="I418" i="2"/>
  <c r="F419" i="2"/>
  <c r="H419" i="2"/>
  <c r="I419" i="2"/>
  <c r="F420" i="2"/>
  <c r="H420" i="2"/>
  <c r="I420" i="2"/>
  <c r="F421" i="2"/>
  <c r="H421" i="2"/>
  <c r="I421" i="2"/>
  <c r="F422" i="2"/>
  <c r="H422" i="2"/>
  <c r="I422" i="2"/>
  <c r="F423" i="2"/>
  <c r="H423" i="2"/>
  <c r="I423" i="2"/>
  <c r="F424" i="2"/>
  <c r="H424" i="2"/>
  <c r="I424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F408" i="2"/>
  <c r="H408" i="2"/>
  <c r="I408" i="2"/>
  <c r="F409" i="2"/>
  <c r="H409" i="2"/>
  <c r="I409" i="2"/>
  <c r="F410" i="2"/>
  <c r="H410" i="2"/>
  <c r="I410" i="2"/>
  <c r="AA5" i="1"/>
  <c r="Z5" i="1"/>
  <c r="X5" i="1"/>
  <c r="C5" i="1"/>
  <c r="N407" i="2"/>
  <c r="N406" i="2"/>
  <c r="N405" i="2"/>
  <c r="F405" i="2"/>
  <c r="H405" i="2"/>
  <c r="I405" i="2"/>
  <c r="F406" i="2"/>
  <c r="H406" i="2"/>
  <c r="I406" i="2"/>
  <c r="F407" i="2"/>
  <c r="H407" i="2"/>
  <c r="I407" i="2"/>
  <c r="N404" i="2"/>
  <c r="F404" i="2"/>
  <c r="H404" i="2"/>
  <c r="I404" i="2"/>
  <c r="N403" i="2"/>
  <c r="F403" i="2"/>
  <c r="H403" i="2"/>
  <c r="I403" i="2"/>
  <c r="F402" i="2"/>
  <c r="H402" i="2"/>
  <c r="I402" i="2"/>
  <c r="N402" i="2"/>
  <c r="F401" i="2"/>
  <c r="H401" i="2"/>
  <c r="I401" i="2"/>
  <c r="N401" i="2"/>
  <c r="G77" i="9"/>
  <c r="G75" i="9"/>
  <c r="F400" i="2"/>
  <c r="H400" i="2"/>
  <c r="I400" i="2"/>
  <c r="N400" i="2"/>
  <c r="F399" i="2"/>
  <c r="H399" i="2"/>
  <c r="I399" i="2"/>
  <c r="N399" i="2"/>
  <c r="N398" i="2"/>
  <c r="F398" i="2"/>
  <c r="H398" i="2"/>
  <c r="I398" i="2"/>
  <c r="N396" i="2"/>
  <c r="N397" i="2"/>
  <c r="F396" i="2"/>
  <c r="H396" i="2"/>
  <c r="I396" i="2"/>
  <c r="F397" i="2"/>
  <c r="H397" i="2"/>
  <c r="I397" i="2"/>
  <c r="G73" i="9"/>
  <c r="N395" i="2"/>
  <c r="F395" i="2"/>
  <c r="H395" i="2"/>
  <c r="I395" i="2"/>
  <c r="I394" i="2"/>
  <c r="H394" i="2"/>
  <c r="F394" i="2"/>
  <c r="N394" i="2"/>
  <c r="F393" i="2"/>
  <c r="H393" i="2"/>
  <c r="I393" i="2"/>
  <c r="N393" i="2"/>
  <c r="N392" i="2"/>
  <c r="I392" i="2"/>
  <c r="H392" i="2"/>
  <c r="F392" i="2"/>
  <c r="F4" i="1"/>
  <c r="I4" i="1"/>
  <c r="B5" i="2"/>
  <c r="B243" i="2"/>
  <c r="B244" i="2"/>
  <c r="B246" i="2"/>
  <c r="B248" i="2"/>
  <c r="B249" i="2"/>
  <c r="B250" i="2"/>
  <c r="B252" i="2"/>
  <c r="B254" i="2"/>
  <c r="B257" i="2"/>
  <c r="B258" i="2"/>
  <c r="B259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D386" i="2"/>
  <c r="D387" i="2"/>
  <c r="D388" i="2"/>
  <c r="F391" i="2"/>
  <c r="H391" i="2"/>
  <c r="I391" i="2"/>
  <c r="N391" i="2"/>
  <c r="F390" i="2"/>
  <c r="H390" i="2"/>
  <c r="I390" i="2"/>
  <c r="N390" i="2"/>
  <c r="H389" i="2"/>
  <c r="I389" i="2"/>
  <c r="N389" i="2"/>
  <c r="N388" i="2"/>
  <c r="N387" i="2"/>
  <c r="N386" i="2"/>
  <c r="F384" i="2"/>
  <c r="H384" i="2"/>
  <c r="I384" i="2"/>
  <c r="F385" i="2"/>
  <c r="H385" i="2"/>
  <c r="I385" i="2"/>
  <c r="N385" i="2"/>
  <c r="N384" i="2"/>
  <c r="F383" i="2"/>
  <c r="H383" i="2"/>
  <c r="I383" i="2"/>
  <c r="N383" i="2"/>
  <c r="N382" i="2"/>
  <c r="F382" i="2"/>
  <c r="H382" i="2"/>
  <c r="I382" i="2"/>
  <c r="G71" i="9"/>
  <c r="I8" i="1"/>
  <c r="E3" i="2"/>
  <c r="E4" i="2"/>
  <c r="F4" i="2"/>
  <c r="H4" i="2"/>
  <c r="I4" i="2"/>
  <c r="N4" i="2"/>
  <c r="T4" i="2"/>
  <c r="U4" i="2"/>
  <c r="AA4" i="2"/>
  <c r="AB4" i="2"/>
  <c r="E5" i="2"/>
  <c r="F5" i="2"/>
  <c r="H5" i="2"/>
  <c r="I5" i="2"/>
  <c r="N5" i="2"/>
  <c r="T5" i="2"/>
  <c r="V5" i="2"/>
  <c r="W5" i="2"/>
  <c r="U5" i="2"/>
  <c r="AA5" i="2"/>
  <c r="AB5" i="2"/>
  <c r="E6" i="2"/>
  <c r="F6" i="2"/>
  <c r="H6" i="2"/>
  <c r="I6" i="2"/>
  <c r="N6" i="2"/>
  <c r="T6" i="2"/>
  <c r="U6" i="2"/>
  <c r="AA6" i="2"/>
  <c r="AB6" i="2"/>
  <c r="E7" i="2"/>
  <c r="F7" i="2"/>
  <c r="H7" i="2"/>
  <c r="I7" i="2"/>
  <c r="N7" i="2"/>
  <c r="T7" i="2"/>
  <c r="U7" i="2"/>
  <c r="AA7" i="2"/>
  <c r="AB7" i="2"/>
  <c r="E8" i="2"/>
  <c r="F8" i="2"/>
  <c r="T8" i="2"/>
  <c r="V8" i="2"/>
  <c r="W8" i="2"/>
  <c r="H8" i="2"/>
  <c r="I8" i="2"/>
  <c r="N8" i="2"/>
  <c r="U8" i="2"/>
  <c r="AA8" i="2"/>
  <c r="AB8" i="2"/>
  <c r="E9" i="2"/>
  <c r="F9" i="2"/>
  <c r="H9" i="2"/>
  <c r="I9" i="2"/>
  <c r="S9" i="2"/>
  <c r="Z9" i="2"/>
  <c r="E10" i="2"/>
  <c r="F10" i="2"/>
  <c r="H10" i="2"/>
  <c r="I10" i="2"/>
  <c r="N10" i="2"/>
  <c r="U10" i="2"/>
  <c r="AB10" i="2"/>
  <c r="E11" i="2"/>
  <c r="F11" i="2"/>
  <c r="H11" i="2"/>
  <c r="I11" i="2"/>
  <c r="N11" i="2"/>
  <c r="T11" i="2"/>
  <c r="U11" i="2"/>
  <c r="AA11" i="2"/>
  <c r="AB11" i="2"/>
  <c r="E12" i="2"/>
  <c r="F12" i="2"/>
  <c r="H12" i="2"/>
  <c r="I12" i="2"/>
  <c r="N12" i="2"/>
  <c r="T12" i="2"/>
  <c r="V12" i="2"/>
  <c r="U12" i="2"/>
  <c r="AA12" i="2"/>
  <c r="AB12" i="2"/>
  <c r="E13" i="2"/>
  <c r="F13" i="2"/>
  <c r="H13" i="2"/>
  <c r="I13" i="2"/>
  <c r="N13" i="2"/>
  <c r="T13" i="2"/>
  <c r="U13" i="2"/>
  <c r="AA13" i="2"/>
  <c r="AB13" i="2"/>
  <c r="E14" i="2"/>
  <c r="F14" i="2"/>
  <c r="H14" i="2"/>
  <c r="I14" i="2"/>
  <c r="N14" i="2"/>
  <c r="T14" i="2"/>
  <c r="U14" i="2"/>
  <c r="AA14" i="2"/>
  <c r="AB14" i="2"/>
  <c r="E15" i="2"/>
  <c r="F15" i="2"/>
  <c r="H15" i="2"/>
  <c r="I15" i="2"/>
  <c r="N15" i="2"/>
  <c r="T15" i="2"/>
  <c r="U15" i="2"/>
  <c r="AA15" i="2"/>
  <c r="AB15" i="2"/>
  <c r="E16" i="2"/>
  <c r="F16" i="2"/>
  <c r="H16" i="2"/>
  <c r="I16" i="2"/>
  <c r="N16" i="2"/>
  <c r="T16" i="2"/>
  <c r="V16" i="2"/>
  <c r="W16" i="2"/>
  <c r="U16" i="2"/>
  <c r="AA16" i="2"/>
  <c r="AB16" i="2"/>
  <c r="E17" i="2"/>
  <c r="F17" i="2"/>
  <c r="H17" i="2"/>
  <c r="I17" i="2"/>
  <c r="N17" i="2"/>
  <c r="T17" i="2"/>
  <c r="U17" i="2"/>
  <c r="AA17" i="2"/>
  <c r="AB17" i="2"/>
  <c r="E18" i="2"/>
  <c r="F18" i="2"/>
  <c r="H18" i="2"/>
  <c r="I18" i="2"/>
  <c r="N18" i="2"/>
  <c r="T18" i="2"/>
  <c r="U18" i="2"/>
  <c r="AA18" i="2"/>
  <c r="AB18" i="2"/>
  <c r="E19" i="2"/>
  <c r="F19" i="2"/>
  <c r="H19" i="2"/>
  <c r="I19" i="2"/>
  <c r="N19" i="2"/>
  <c r="T19" i="2"/>
  <c r="U19" i="2"/>
  <c r="AA19" i="2"/>
  <c r="AB19" i="2"/>
  <c r="E20" i="2"/>
  <c r="F20" i="2"/>
  <c r="H20" i="2"/>
  <c r="I20" i="2"/>
  <c r="N20" i="2"/>
  <c r="T20" i="2"/>
  <c r="V20" i="2"/>
  <c r="W20" i="2"/>
  <c r="U20" i="2"/>
  <c r="AA20" i="2"/>
  <c r="AB20" i="2"/>
  <c r="E21" i="2"/>
  <c r="F21" i="2"/>
  <c r="H21" i="2"/>
  <c r="I21" i="2"/>
  <c r="N21" i="2"/>
  <c r="T21" i="2"/>
  <c r="U21" i="2"/>
  <c r="AA21" i="2"/>
  <c r="AB21" i="2"/>
  <c r="E22" i="2"/>
  <c r="F22" i="2"/>
  <c r="H22" i="2"/>
  <c r="I22" i="2"/>
  <c r="N22" i="2"/>
  <c r="T22" i="2"/>
  <c r="U22" i="2"/>
  <c r="AA22" i="2"/>
  <c r="AB22" i="2"/>
  <c r="E23" i="2"/>
  <c r="F23" i="2"/>
  <c r="H23" i="2"/>
  <c r="I23" i="2"/>
  <c r="N23" i="2"/>
  <c r="T23" i="2"/>
  <c r="U23" i="2"/>
  <c r="AA23" i="2"/>
  <c r="AB23" i="2"/>
  <c r="E24" i="2"/>
  <c r="F24" i="2"/>
  <c r="H24" i="2"/>
  <c r="I24" i="2"/>
  <c r="N24" i="2"/>
  <c r="T24" i="2"/>
  <c r="V24" i="2"/>
  <c r="W24" i="2"/>
  <c r="U24" i="2"/>
  <c r="AA24" i="2"/>
  <c r="AB24" i="2"/>
  <c r="E25" i="2"/>
  <c r="F25" i="2"/>
  <c r="H25" i="2"/>
  <c r="I25" i="2"/>
  <c r="N25" i="2"/>
  <c r="T25" i="2"/>
  <c r="U25" i="2"/>
  <c r="AA25" i="2"/>
  <c r="AB25" i="2"/>
  <c r="E26" i="2"/>
  <c r="F26" i="2"/>
  <c r="H26" i="2"/>
  <c r="I26" i="2"/>
  <c r="N26" i="2"/>
  <c r="T26" i="2"/>
  <c r="U26" i="2"/>
  <c r="AA26" i="2"/>
  <c r="AB26" i="2"/>
  <c r="E27" i="2"/>
  <c r="F27" i="2"/>
  <c r="H27" i="2"/>
  <c r="I27" i="2"/>
  <c r="N27" i="2"/>
  <c r="T27" i="2"/>
  <c r="U27" i="2"/>
  <c r="AA27" i="2"/>
  <c r="AB27" i="2"/>
  <c r="E28" i="2"/>
  <c r="F28" i="2"/>
  <c r="H28" i="2"/>
  <c r="I28" i="2"/>
  <c r="N28" i="2"/>
  <c r="T28" i="2"/>
  <c r="V28" i="2"/>
  <c r="U28" i="2"/>
  <c r="AA28" i="2"/>
  <c r="AB28" i="2"/>
  <c r="E29" i="2"/>
  <c r="F29" i="2"/>
  <c r="H29" i="2"/>
  <c r="I29" i="2"/>
  <c r="N29" i="2"/>
  <c r="T29" i="2"/>
  <c r="U29" i="2"/>
  <c r="AA29" i="2"/>
  <c r="AB29" i="2"/>
  <c r="E30" i="2"/>
  <c r="F30" i="2"/>
  <c r="H30" i="2"/>
  <c r="I30" i="2"/>
  <c r="N30" i="2"/>
  <c r="T30" i="2"/>
  <c r="U30" i="2"/>
  <c r="AA30" i="2"/>
  <c r="AB30" i="2"/>
  <c r="E31" i="2"/>
  <c r="F31" i="2"/>
  <c r="H31" i="2"/>
  <c r="I31" i="2"/>
  <c r="N31" i="2"/>
  <c r="T31" i="2"/>
  <c r="U31" i="2"/>
  <c r="AA31" i="2"/>
  <c r="AB31" i="2"/>
  <c r="E32" i="2"/>
  <c r="F32" i="2"/>
  <c r="H32" i="2"/>
  <c r="I32" i="2"/>
  <c r="N32" i="2"/>
  <c r="T32" i="2"/>
  <c r="V32" i="2"/>
  <c r="W32" i="2"/>
  <c r="U32" i="2"/>
  <c r="AA32" i="2"/>
  <c r="AB32" i="2"/>
  <c r="E33" i="2"/>
  <c r="F33" i="2"/>
  <c r="H33" i="2"/>
  <c r="I33" i="2"/>
  <c r="N33" i="2"/>
  <c r="T33" i="2"/>
  <c r="U33" i="2"/>
  <c r="AA33" i="2"/>
  <c r="AB33" i="2"/>
  <c r="E34" i="2"/>
  <c r="F34" i="2"/>
  <c r="H34" i="2"/>
  <c r="I34" i="2"/>
  <c r="N34" i="2"/>
  <c r="T34" i="2"/>
  <c r="U34" i="2"/>
  <c r="AA34" i="2"/>
  <c r="AB34" i="2"/>
  <c r="E35" i="2"/>
  <c r="F35" i="2"/>
  <c r="H35" i="2"/>
  <c r="I35" i="2"/>
  <c r="N35" i="2"/>
  <c r="T35" i="2"/>
  <c r="U35" i="2"/>
  <c r="AA35" i="2"/>
  <c r="AB35" i="2"/>
  <c r="E36" i="2"/>
  <c r="F36" i="2"/>
  <c r="H36" i="2"/>
  <c r="I36" i="2"/>
  <c r="N36" i="2"/>
  <c r="T36" i="2"/>
  <c r="V36" i="2"/>
  <c r="U36" i="2"/>
  <c r="AA36" i="2"/>
  <c r="AB36" i="2"/>
  <c r="E37" i="2"/>
  <c r="F37" i="2"/>
  <c r="H37" i="2"/>
  <c r="I37" i="2"/>
  <c r="N37" i="2"/>
  <c r="T37" i="2"/>
  <c r="U37" i="2"/>
  <c r="AA37" i="2"/>
  <c r="AB37" i="2"/>
  <c r="E38" i="2"/>
  <c r="F38" i="2"/>
  <c r="H38" i="2"/>
  <c r="I38" i="2"/>
  <c r="N38" i="2"/>
  <c r="T38" i="2"/>
  <c r="U38" i="2"/>
  <c r="AA38" i="2"/>
  <c r="AB38" i="2"/>
  <c r="E39" i="2"/>
  <c r="F39" i="2"/>
  <c r="H39" i="2"/>
  <c r="I39" i="2"/>
  <c r="N39" i="2"/>
  <c r="R39" i="2"/>
  <c r="T39" i="2"/>
  <c r="U39" i="2"/>
  <c r="AA39" i="2"/>
  <c r="AB39" i="2"/>
  <c r="F40" i="2"/>
  <c r="H40" i="2"/>
  <c r="I40" i="2"/>
  <c r="N40" i="2"/>
  <c r="R40" i="2"/>
  <c r="T40" i="2"/>
  <c r="U40" i="2"/>
  <c r="AA40" i="2"/>
  <c r="AB40" i="2"/>
  <c r="N41" i="2"/>
  <c r="R41" i="2"/>
  <c r="T41" i="2"/>
  <c r="U41" i="2"/>
  <c r="AA41" i="2"/>
  <c r="AB41" i="2"/>
  <c r="N42" i="2"/>
  <c r="R42" i="2"/>
  <c r="T42" i="2"/>
  <c r="U42" i="2"/>
  <c r="AA42" i="2"/>
  <c r="AB42" i="2"/>
  <c r="N43" i="2"/>
  <c r="R43" i="2"/>
  <c r="T43" i="2"/>
  <c r="U43" i="2"/>
  <c r="AA43" i="2"/>
  <c r="AB43" i="2"/>
  <c r="N44" i="2"/>
  <c r="R44" i="2"/>
  <c r="T44" i="2"/>
  <c r="U44" i="2"/>
  <c r="AA44" i="2"/>
  <c r="AB44" i="2"/>
  <c r="N45" i="2"/>
  <c r="R45" i="2"/>
  <c r="T45" i="2"/>
  <c r="U45" i="2"/>
  <c r="AA45" i="2"/>
  <c r="AB45" i="2"/>
  <c r="N46" i="2"/>
  <c r="R46" i="2"/>
  <c r="T46" i="2"/>
  <c r="U46" i="2"/>
  <c r="AA46" i="2"/>
  <c r="AB46" i="2"/>
  <c r="N47" i="2"/>
  <c r="R47" i="2"/>
  <c r="T47" i="2"/>
  <c r="U47" i="2"/>
  <c r="AA47" i="2"/>
  <c r="AB47" i="2"/>
  <c r="N48" i="2"/>
  <c r="R48" i="2"/>
  <c r="T48" i="2"/>
  <c r="U48" i="2"/>
  <c r="AA48" i="2"/>
  <c r="AB48" i="2"/>
  <c r="N49" i="2"/>
  <c r="R49" i="2"/>
  <c r="T49" i="2"/>
  <c r="U49" i="2"/>
  <c r="AA49" i="2"/>
  <c r="AB49" i="2"/>
  <c r="N50" i="2"/>
  <c r="R50" i="2"/>
  <c r="T50" i="2"/>
  <c r="U50" i="2"/>
  <c r="AA50" i="2"/>
  <c r="AB50" i="2"/>
  <c r="N51" i="2"/>
  <c r="R51" i="2"/>
  <c r="T51" i="2"/>
  <c r="U51" i="2"/>
  <c r="AA51" i="2"/>
  <c r="AB51" i="2"/>
  <c r="N52" i="2"/>
  <c r="R52" i="2"/>
  <c r="T52" i="2"/>
  <c r="U52" i="2"/>
  <c r="AA52" i="2"/>
  <c r="AB52" i="2"/>
  <c r="N53" i="2"/>
  <c r="R53" i="2"/>
  <c r="T53" i="2"/>
  <c r="U53" i="2"/>
  <c r="AA53" i="2"/>
  <c r="AB53" i="2"/>
  <c r="N54" i="2"/>
  <c r="R54" i="2"/>
  <c r="T54" i="2"/>
  <c r="U54" i="2"/>
  <c r="AA54" i="2"/>
  <c r="AB54" i="2"/>
  <c r="N55" i="2"/>
  <c r="R55" i="2"/>
  <c r="T55" i="2"/>
  <c r="U55" i="2"/>
  <c r="AA55" i="2"/>
  <c r="AB55" i="2"/>
  <c r="N56" i="2"/>
  <c r="R56" i="2"/>
  <c r="T56" i="2"/>
  <c r="U56" i="2"/>
  <c r="AA56" i="2"/>
  <c r="AB56" i="2"/>
  <c r="N57" i="2"/>
  <c r="R57" i="2"/>
  <c r="T57" i="2"/>
  <c r="U57" i="2"/>
  <c r="AA57" i="2"/>
  <c r="AB57" i="2"/>
  <c r="N58" i="2"/>
  <c r="R58" i="2"/>
  <c r="T58" i="2"/>
  <c r="U58" i="2"/>
  <c r="AA58" i="2"/>
  <c r="AB58" i="2"/>
  <c r="N59" i="2"/>
  <c r="R59" i="2"/>
  <c r="T59" i="2"/>
  <c r="U59" i="2"/>
  <c r="AA59" i="2"/>
  <c r="AB59" i="2"/>
  <c r="N60" i="2"/>
  <c r="R60" i="2"/>
  <c r="T60" i="2"/>
  <c r="U60" i="2"/>
  <c r="AA60" i="2"/>
  <c r="AB60" i="2"/>
  <c r="N61" i="2"/>
  <c r="R61" i="2"/>
  <c r="T61" i="2"/>
  <c r="U61" i="2"/>
  <c r="AA61" i="2"/>
  <c r="AB61" i="2"/>
  <c r="N62" i="2"/>
  <c r="R62" i="2"/>
  <c r="T62" i="2"/>
  <c r="U62" i="2"/>
  <c r="AA62" i="2"/>
  <c r="AB62" i="2"/>
  <c r="N63" i="2"/>
  <c r="R63" i="2"/>
  <c r="T63" i="2"/>
  <c r="U63" i="2"/>
  <c r="AA63" i="2"/>
  <c r="AB63" i="2"/>
  <c r="N64" i="2"/>
  <c r="R64" i="2"/>
  <c r="T64" i="2"/>
  <c r="U64" i="2"/>
  <c r="AA64" i="2"/>
  <c r="AB64" i="2"/>
  <c r="N65" i="2"/>
  <c r="R65" i="2"/>
  <c r="T65" i="2"/>
  <c r="U65" i="2"/>
  <c r="AA65" i="2"/>
  <c r="AB65" i="2"/>
  <c r="N66" i="2"/>
  <c r="R66" i="2"/>
  <c r="T66" i="2"/>
  <c r="U66" i="2"/>
  <c r="AA66" i="2"/>
  <c r="AB66" i="2"/>
  <c r="N67" i="2"/>
  <c r="R67" i="2"/>
  <c r="T67" i="2"/>
  <c r="U67" i="2"/>
  <c r="AA67" i="2"/>
  <c r="AB67" i="2"/>
  <c r="N68" i="2"/>
  <c r="R68" i="2"/>
  <c r="T68" i="2"/>
  <c r="U68" i="2"/>
  <c r="AA68" i="2"/>
  <c r="AB68" i="2"/>
  <c r="N69" i="2"/>
  <c r="R69" i="2"/>
  <c r="T69" i="2"/>
  <c r="U69" i="2"/>
  <c r="AA69" i="2"/>
  <c r="AB69" i="2"/>
  <c r="N70" i="2"/>
  <c r="R70" i="2"/>
  <c r="T70" i="2"/>
  <c r="U70" i="2"/>
  <c r="AA70" i="2"/>
  <c r="AB70" i="2"/>
  <c r="N71" i="2"/>
  <c r="T71" i="2"/>
  <c r="U71" i="2"/>
  <c r="AA71" i="2"/>
  <c r="AB71" i="2"/>
  <c r="N72" i="2"/>
  <c r="R72" i="2"/>
  <c r="T72" i="2"/>
  <c r="U72" i="2"/>
  <c r="AA72" i="2"/>
  <c r="AB72" i="2"/>
  <c r="N73" i="2"/>
  <c r="R73" i="2"/>
  <c r="T73" i="2"/>
  <c r="U73" i="2"/>
  <c r="AA73" i="2"/>
  <c r="AB73" i="2"/>
  <c r="N74" i="2"/>
  <c r="R74" i="2"/>
  <c r="T74" i="2"/>
  <c r="U74" i="2"/>
  <c r="AA74" i="2"/>
  <c r="AB74" i="2"/>
  <c r="N75" i="2"/>
  <c r="R75" i="2"/>
  <c r="T75" i="2"/>
  <c r="U75" i="2"/>
  <c r="AA75" i="2"/>
  <c r="AB75" i="2"/>
  <c r="N76" i="2"/>
  <c r="R76" i="2"/>
  <c r="T76" i="2"/>
  <c r="U76" i="2"/>
  <c r="AA76" i="2"/>
  <c r="AB76" i="2"/>
  <c r="N77" i="2"/>
  <c r="R77" i="2"/>
  <c r="T77" i="2"/>
  <c r="U77" i="2"/>
  <c r="AA77" i="2"/>
  <c r="AB77" i="2"/>
  <c r="N78" i="2"/>
  <c r="R78" i="2"/>
  <c r="T78" i="2"/>
  <c r="U78" i="2"/>
  <c r="AA78" i="2"/>
  <c r="AB78" i="2"/>
  <c r="N79" i="2"/>
  <c r="R79" i="2"/>
  <c r="T79" i="2"/>
  <c r="U79" i="2"/>
  <c r="AA79" i="2"/>
  <c r="AB79" i="2"/>
  <c r="N80" i="2"/>
  <c r="R80" i="2"/>
  <c r="T80" i="2"/>
  <c r="U80" i="2"/>
  <c r="AA80" i="2"/>
  <c r="AB80" i="2"/>
  <c r="N81" i="2"/>
  <c r="R81" i="2"/>
  <c r="T81" i="2"/>
  <c r="U81" i="2"/>
  <c r="AA81" i="2"/>
  <c r="AB81" i="2"/>
  <c r="N82" i="2"/>
  <c r="R82" i="2"/>
  <c r="T82" i="2"/>
  <c r="U82" i="2"/>
  <c r="AA82" i="2"/>
  <c r="AB82" i="2"/>
  <c r="N83" i="2"/>
  <c r="R83" i="2"/>
  <c r="T83" i="2"/>
  <c r="U83" i="2"/>
  <c r="AA83" i="2"/>
  <c r="AB83" i="2"/>
  <c r="N84" i="2"/>
  <c r="R84" i="2"/>
  <c r="T84" i="2"/>
  <c r="U84" i="2"/>
  <c r="AA84" i="2"/>
  <c r="AB84" i="2"/>
  <c r="N85" i="2"/>
  <c r="R85" i="2"/>
  <c r="T85" i="2"/>
  <c r="U85" i="2"/>
  <c r="AA85" i="2"/>
  <c r="AB85" i="2"/>
  <c r="N86" i="2"/>
  <c r="R86" i="2"/>
  <c r="T86" i="2"/>
  <c r="U86" i="2"/>
  <c r="AA86" i="2"/>
  <c r="AB86" i="2"/>
  <c r="N87" i="2"/>
  <c r="T87" i="2"/>
  <c r="U87" i="2"/>
  <c r="AA87" i="2"/>
  <c r="AB87" i="2"/>
  <c r="N88" i="2"/>
  <c r="T88" i="2"/>
  <c r="U88" i="2"/>
  <c r="AA88" i="2"/>
  <c r="AB88" i="2"/>
  <c r="N89" i="2"/>
  <c r="T89" i="2"/>
  <c r="U89" i="2"/>
  <c r="AA89" i="2"/>
  <c r="AB89" i="2"/>
  <c r="N90" i="2"/>
  <c r="T90" i="2"/>
  <c r="U90" i="2"/>
  <c r="AA90" i="2"/>
  <c r="AB90" i="2"/>
  <c r="N91" i="2"/>
  <c r="T91" i="2"/>
  <c r="U91" i="2"/>
  <c r="AA91" i="2"/>
  <c r="AB91" i="2"/>
  <c r="N92" i="2"/>
  <c r="T92" i="2"/>
  <c r="U92" i="2"/>
  <c r="AA92" i="2"/>
  <c r="AB92" i="2"/>
  <c r="N93" i="2"/>
  <c r="T93" i="2"/>
  <c r="U93" i="2"/>
  <c r="AA93" i="2"/>
  <c r="AB93" i="2"/>
  <c r="N94" i="2"/>
  <c r="T94" i="2"/>
  <c r="U94" i="2"/>
  <c r="AA94" i="2"/>
  <c r="AB94" i="2"/>
  <c r="N95" i="2"/>
  <c r="T95" i="2"/>
  <c r="U95" i="2"/>
  <c r="AA95" i="2"/>
  <c r="AB95" i="2"/>
  <c r="N96" i="2"/>
  <c r="T96" i="2"/>
  <c r="U96" i="2"/>
  <c r="AA96" i="2"/>
  <c r="AB96" i="2"/>
  <c r="N97" i="2"/>
  <c r="T97" i="2"/>
  <c r="U97" i="2"/>
  <c r="AA97" i="2"/>
  <c r="AB97" i="2"/>
  <c r="N98" i="2"/>
  <c r="T98" i="2"/>
  <c r="U98" i="2"/>
  <c r="AA98" i="2"/>
  <c r="AB98" i="2"/>
  <c r="N99" i="2"/>
  <c r="T99" i="2"/>
  <c r="U99" i="2"/>
  <c r="AA99" i="2"/>
  <c r="AB99" i="2"/>
  <c r="N100" i="2"/>
  <c r="T100" i="2"/>
  <c r="U100" i="2"/>
  <c r="AA100" i="2"/>
  <c r="AB100" i="2"/>
  <c r="N101" i="2"/>
  <c r="T101" i="2"/>
  <c r="U101" i="2"/>
  <c r="AA101" i="2"/>
  <c r="AB101" i="2"/>
  <c r="N102" i="2"/>
  <c r="T102" i="2"/>
  <c r="U102" i="2"/>
  <c r="AA102" i="2"/>
  <c r="AB102" i="2"/>
  <c r="N103" i="2"/>
  <c r="T103" i="2"/>
  <c r="U103" i="2"/>
  <c r="AA103" i="2"/>
  <c r="AB103" i="2"/>
  <c r="N104" i="2"/>
  <c r="T104" i="2"/>
  <c r="U104" i="2"/>
  <c r="AA104" i="2"/>
  <c r="AB104" i="2"/>
  <c r="N105" i="2"/>
  <c r="T105" i="2"/>
  <c r="U105" i="2"/>
  <c r="AA105" i="2"/>
  <c r="AB105" i="2"/>
  <c r="N106" i="2"/>
  <c r="T106" i="2"/>
  <c r="U106" i="2"/>
  <c r="AA106" i="2"/>
  <c r="AB106" i="2"/>
  <c r="N107" i="2"/>
  <c r="T107" i="2"/>
  <c r="U107" i="2"/>
  <c r="AA107" i="2"/>
  <c r="AB107" i="2"/>
  <c r="N108" i="2"/>
  <c r="T108" i="2"/>
  <c r="U108" i="2"/>
  <c r="AA108" i="2"/>
  <c r="AB108" i="2"/>
  <c r="N109" i="2"/>
  <c r="T109" i="2"/>
  <c r="U109" i="2"/>
  <c r="AA109" i="2"/>
  <c r="AB109" i="2"/>
  <c r="N110" i="2"/>
  <c r="T110" i="2"/>
  <c r="U110" i="2"/>
  <c r="AA110" i="2"/>
  <c r="AB110" i="2"/>
  <c r="N111" i="2"/>
  <c r="T111" i="2"/>
  <c r="U111" i="2"/>
  <c r="AA111" i="2"/>
  <c r="AB111" i="2"/>
  <c r="F112" i="2"/>
  <c r="N112" i="2"/>
  <c r="T112" i="2"/>
  <c r="U112" i="2"/>
  <c r="AA112" i="2"/>
  <c r="AB112" i="2"/>
  <c r="N113" i="2"/>
  <c r="T113" i="2"/>
  <c r="U113" i="2"/>
  <c r="AA113" i="2"/>
  <c r="AB113" i="2"/>
  <c r="N114" i="2"/>
  <c r="T114" i="2"/>
  <c r="U114" i="2"/>
  <c r="AA114" i="2"/>
  <c r="AB114" i="2"/>
  <c r="N115" i="2"/>
  <c r="T115" i="2"/>
  <c r="U115" i="2"/>
  <c r="AA115" i="2"/>
  <c r="AB115" i="2"/>
  <c r="N116" i="2"/>
  <c r="T116" i="2"/>
  <c r="U116" i="2"/>
  <c r="AA116" i="2"/>
  <c r="AB116" i="2"/>
  <c r="N117" i="2"/>
  <c r="T117" i="2"/>
  <c r="U117" i="2"/>
  <c r="AA117" i="2"/>
  <c r="AB117" i="2"/>
  <c r="N118" i="2"/>
  <c r="T118" i="2"/>
  <c r="U118" i="2"/>
  <c r="AA118" i="2"/>
  <c r="AB118" i="2"/>
  <c r="N119" i="2"/>
  <c r="T119" i="2"/>
  <c r="U119" i="2"/>
  <c r="AA119" i="2"/>
  <c r="AB119" i="2"/>
  <c r="H120" i="2"/>
  <c r="N120" i="2"/>
  <c r="T120" i="2"/>
  <c r="U120" i="2"/>
  <c r="AA120" i="2"/>
  <c r="AB120" i="2"/>
  <c r="N121" i="2"/>
  <c r="T121" i="2"/>
  <c r="U121" i="2"/>
  <c r="AA121" i="2"/>
  <c r="AB121" i="2"/>
  <c r="N122" i="2"/>
  <c r="T122" i="2"/>
  <c r="U122" i="2"/>
  <c r="AA122" i="2"/>
  <c r="AB122" i="2"/>
  <c r="N123" i="2"/>
  <c r="T123" i="2"/>
  <c r="U123" i="2"/>
  <c r="AA123" i="2"/>
  <c r="AB123" i="2"/>
  <c r="F124" i="2"/>
  <c r="N124" i="2"/>
  <c r="T124" i="2"/>
  <c r="U124" i="2"/>
  <c r="AA124" i="2"/>
  <c r="AB124" i="2"/>
  <c r="N125" i="2"/>
  <c r="T125" i="2"/>
  <c r="U125" i="2"/>
  <c r="AA125" i="2"/>
  <c r="AB125" i="2"/>
  <c r="N126" i="2"/>
  <c r="T126" i="2"/>
  <c r="U126" i="2"/>
  <c r="AA126" i="2"/>
  <c r="AB126" i="2"/>
  <c r="N127" i="2"/>
  <c r="T127" i="2"/>
  <c r="U127" i="2"/>
  <c r="AA127" i="2"/>
  <c r="AB127" i="2"/>
  <c r="H128" i="2"/>
  <c r="N128" i="2"/>
  <c r="T128" i="2"/>
  <c r="U128" i="2"/>
  <c r="AA128" i="2"/>
  <c r="AB128" i="2"/>
  <c r="N129" i="2"/>
  <c r="T129" i="2"/>
  <c r="U129" i="2"/>
  <c r="AA129" i="2"/>
  <c r="AB129" i="2"/>
  <c r="N130" i="2"/>
  <c r="T130" i="2"/>
  <c r="U130" i="2"/>
  <c r="AA130" i="2"/>
  <c r="AB130" i="2"/>
  <c r="N131" i="2"/>
  <c r="T131" i="2"/>
  <c r="U131" i="2"/>
  <c r="AA131" i="2"/>
  <c r="AB131" i="2"/>
  <c r="F133" i="2"/>
  <c r="N132" i="2"/>
  <c r="T132" i="2"/>
  <c r="U132" i="2"/>
  <c r="AA132" i="2"/>
  <c r="AB132" i="2"/>
  <c r="N133" i="2"/>
  <c r="T133" i="2"/>
  <c r="U133" i="2"/>
  <c r="AA133" i="2"/>
  <c r="AB133" i="2"/>
  <c r="N134" i="2"/>
  <c r="T134" i="2"/>
  <c r="U134" i="2"/>
  <c r="AA134" i="2"/>
  <c r="AB134" i="2"/>
  <c r="N135" i="2"/>
  <c r="T135" i="2"/>
  <c r="U135" i="2"/>
  <c r="AA135" i="2"/>
  <c r="AB135" i="2"/>
  <c r="H136" i="2"/>
  <c r="N136" i="2"/>
  <c r="T136" i="2"/>
  <c r="U136" i="2"/>
  <c r="AA136" i="2"/>
  <c r="AB136" i="2"/>
  <c r="N137" i="2"/>
  <c r="T137" i="2"/>
  <c r="U137" i="2"/>
  <c r="AA137" i="2"/>
  <c r="AB137" i="2"/>
  <c r="N138" i="2"/>
  <c r="T138" i="2"/>
  <c r="U138" i="2"/>
  <c r="AA138" i="2"/>
  <c r="AB138" i="2"/>
  <c r="N139" i="2"/>
  <c r="T139" i="2"/>
  <c r="U139" i="2"/>
  <c r="AA139" i="2"/>
  <c r="AB139" i="2"/>
  <c r="I140" i="2"/>
  <c r="N140" i="2"/>
  <c r="T140" i="2"/>
  <c r="U140" i="2"/>
  <c r="AA140" i="2"/>
  <c r="AB140" i="2"/>
  <c r="N141" i="2"/>
  <c r="T141" i="2"/>
  <c r="U141" i="2"/>
  <c r="AA141" i="2"/>
  <c r="AB141" i="2"/>
  <c r="N142" i="2"/>
  <c r="T142" i="2"/>
  <c r="U142" i="2"/>
  <c r="AA142" i="2"/>
  <c r="AB142" i="2"/>
  <c r="N143" i="2"/>
  <c r="T143" i="2"/>
  <c r="U143" i="2"/>
  <c r="AA143" i="2"/>
  <c r="AB143" i="2"/>
  <c r="N144" i="2"/>
  <c r="T144" i="2"/>
  <c r="U144" i="2"/>
  <c r="AA144" i="2"/>
  <c r="AB144" i="2"/>
  <c r="N145" i="2"/>
  <c r="T145" i="2"/>
  <c r="U145" i="2"/>
  <c r="AA145" i="2"/>
  <c r="AB145" i="2"/>
  <c r="N146" i="2"/>
  <c r="T146" i="2"/>
  <c r="U146" i="2"/>
  <c r="AA146" i="2"/>
  <c r="AB146" i="2"/>
  <c r="N147" i="2"/>
  <c r="T147" i="2"/>
  <c r="U147" i="2"/>
  <c r="AA147" i="2"/>
  <c r="AB147" i="2"/>
  <c r="H148" i="2"/>
  <c r="N148" i="2"/>
  <c r="T148" i="2"/>
  <c r="U148" i="2"/>
  <c r="AA148" i="2"/>
  <c r="AB148" i="2"/>
  <c r="N149" i="2"/>
  <c r="T149" i="2"/>
  <c r="U149" i="2"/>
  <c r="AA149" i="2"/>
  <c r="AB149" i="2"/>
  <c r="N150" i="2"/>
  <c r="T150" i="2"/>
  <c r="U150" i="2"/>
  <c r="AA150" i="2"/>
  <c r="AB150" i="2"/>
  <c r="N151" i="2"/>
  <c r="T151" i="2"/>
  <c r="U151" i="2"/>
  <c r="AA151" i="2"/>
  <c r="AB151" i="2"/>
  <c r="H152" i="2"/>
  <c r="N152" i="2"/>
  <c r="T152" i="2"/>
  <c r="U152" i="2"/>
  <c r="AA152" i="2"/>
  <c r="AB152" i="2"/>
  <c r="N153" i="2"/>
  <c r="T153" i="2"/>
  <c r="U153" i="2"/>
  <c r="AA153" i="2"/>
  <c r="AB153" i="2"/>
  <c r="N154" i="2"/>
  <c r="T154" i="2"/>
  <c r="U154" i="2"/>
  <c r="AA154" i="2"/>
  <c r="AB154" i="2"/>
  <c r="N155" i="2"/>
  <c r="T155" i="2"/>
  <c r="U155" i="2"/>
  <c r="AA155" i="2"/>
  <c r="AB155" i="2"/>
  <c r="H156" i="2"/>
  <c r="N156" i="2"/>
  <c r="T156" i="2"/>
  <c r="U156" i="2"/>
  <c r="AA156" i="2"/>
  <c r="AB156" i="2"/>
  <c r="N157" i="2"/>
  <c r="T157" i="2"/>
  <c r="U157" i="2"/>
  <c r="AA157" i="2"/>
  <c r="AB157" i="2"/>
  <c r="N158" i="2"/>
  <c r="T158" i="2"/>
  <c r="U158" i="2"/>
  <c r="AA158" i="2"/>
  <c r="AB158" i="2"/>
  <c r="N159" i="2"/>
  <c r="T159" i="2"/>
  <c r="U159" i="2"/>
  <c r="AA159" i="2"/>
  <c r="AB159" i="2"/>
  <c r="N160" i="2"/>
  <c r="T160" i="2"/>
  <c r="U160" i="2"/>
  <c r="AA160" i="2"/>
  <c r="AB160" i="2"/>
  <c r="N161" i="2"/>
  <c r="T161" i="2"/>
  <c r="U161" i="2"/>
  <c r="AA161" i="2"/>
  <c r="AB161" i="2"/>
  <c r="N162" i="2"/>
  <c r="T162" i="2"/>
  <c r="U162" i="2"/>
  <c r="AA162" i="2"/>
  <c r="AB162" i="2"/>
  <c r="N163" i="2"/>
  <c r="T163" i="2"/>
  <c r="U163" i="2"/>
  <c r="AA163" i="2"/>
  <c r="AB163" i="2"/>
  <c r="H164" i="2"/>
  <c r="N164" i="2"/>
  <c r="T164" i="2"/>
  <c r="U164" i="2"/>
  <c r="AA164" i="2"/>
  <c r="AB164" i="2"/>
  <c r="N165" i="2"/>
  <c r="T165" i="2"/>
  <c r="U165" i="2"/>
  <c r="AA165" i="2"/>
  <c r="AB165" i="2"/>
  <c r="N166" i="2"/>
  <c r="T166" i="2"/>
  <c r="U166" i="2"/>
  <c r="AA166" i="2"/>
  <c r="AB166" i="2"/>
  <c r="N167" i="2"/>
  <c r="T167" i="2"/>
  <c r="U167" i="2"/>
  <c r="AA167" i="2"/>
  <c r="AB167" i="2"/>
  <c r="I168" i="2"/>
  <c r="N168" i="2"/>
  <c r="T168" i="2"/>
  <c r="U168" i="2"/>
  <c r="AA168" i="2"/>
  <c r="AB168" i="2"/>
  <c r="N169" i="2"/>
  <c r="T169" i="2"/>
  <c r="U169" i="2"/>
  <c r="AA169" i="2"/>
  <c r="AB169" i="2"/>
  <c r="N170" i="2"/>
  <c r="T170" i="2"/>
  <c r="U170" i="2"/>
  <c r="AA170" i="2"/>
  <c r="AB170" i="2"/>
  <c r="N171" i="2"/>
  <c r="T171" i="2"/>
  <c r="U171" i="2"/>
  <c r="AA171" i="2"/>
  <c r="AB171" i="2"/>
  <c r="F172" i="2"/>
  <c r="N172" i="2"/>
  <c r="T172" i="2"/>
  <c r="U172" i="2"/>
  <c r="AA172" i="2"/>
  <c r="AB172" i="2"/>
  <c r="N173" i="2"/>
  <c r="T173" i="2"/>
  <c r="U173" i="2"/>
  <c r="AA173" i="2"/>
  <c r="AB173" i="2"/>
  <c r="N174" i="2"/>
  <c r="T174" i="2"/>
  <c r="U174" i="2"/>
  <c r="AA174" i="2"/>
  <c r="AB174" i="2"/>
  <c r="N175" i="2"/>
  <c r="T175" i="2"/>
  <c r="U175" i="2"/>
  <c r="AA175" i="2"/>
  <c r="AB175" i="2"/>
  <c r="H176" i="2"/>
  <c r="N176" i="2"/>
  <c r="T176" i="2"/>
  <c r="U176" i="2"/>
  <c r="AA176" i="2"/>
  <c r="AB176" i="2"/>
  <c r="N177" i="2"/>
  <c r="T177" i="2"/>
  <c r="U177" i="2"/>
  <c r="AA177" i="2"/>
  <c r="AB177" i="2"/>
  <c r="N178" i="2"/>
  <c r="T178" i="2"/>
  <c r="U178" i="2"/>
  <c r="AA178" i="2"/>
  <c r="AB178" i="2"/>
  <c r="N179" i="2"/>
  <c r="T179" i="2"/>
  <c r="U179" i="2"/>
  <c r="AA179" i="2"/>
  <c r="AB179" i="2"/>
  <c r="N180" i="2"/>
  <c r="T180" i="2"/>
  <c r="U180" i="2"/>
  <c r="AA180" i="2"/>
  <c r="AB180" i="2"/>
  <c r="F182" i="2"/>
  <c r="N181" i="2"/>
  <c r="T181" i="2"/>
  <c r="U181" i="2"/>
  <c r="AA181" i="2"/>
  <c r="AB181" i="2"/>
  <c r="N182" i="2"/>
  <c r="T182" i="2"/>
  <c r="U182" i="2"/>
  <c r="AA182" i="2"/>
  <c r="AB182" i="2"/>
  <c r="N183" i="2"/>
  <c r="T183" i="2"/>
  <c r="U183" i="2"/>
  <c r="AA183" i="2"/>
  <c r="AB183" i="2"/>
  <c r="N184" i="2"/>
  <c r="T184" i="2"/>
  <c r="U184" i="2"/>
  <c r="AA184" i="2"/>
  <c r="AB184" i="2"/>
  <c r="I185" i="2"/>
  <c r="N185" i="2"/>
  <c r="T185" i="2"/>
  <c r="U185" i="2"/>
  <c r="AA185" i="2"/>
  <c r="AB185" i="2"/>
  <c r="N186" i="2"/>
  <c r="T186" i="2"/>
  <c r="U186" i="2"/>
  <c r="AA186" i="2"/>
  <c r="AB186" i="2"/>
  <c r="N187" i="2"/>
  <c r="T187" i="2"/>
  <c r="U187" i="2"/>
  <c r="AA187" i="2"/>
  <c r="AB187" i="2"/>
  <c r="N188" i="2"/>
  <c r="T188" i="2"/>
  <c r="U188" i="2"/>
  <c r="AA188" i="2"/>
  <c r="AB188" i="2"/>
  <c r="N189" i="2"/>
  <c r="T189" i="2"/>
  <c r="U189" i="2"/>
  <c r="AA189" i="2"/>
  <c r="AB189" i="2"/>
  <c r="C190" i="2"/>
  <c r="C191" i="2"/>
  <c r="N190" i="2"/>
  <c r="T190" i="2"/>
  <c r="U190" i="2"/>
  <c r="AA190" i="2"/>
  <c r="AB190" i="2"/>
  <c r="H191" i="2"/>
  <c r="N191" i="2"/>
  <c r="T191" i="2"/>
  <c r="U191" i="2"/>
  <c r="AA191" i="2"/>
  <c r="AB191" i="2"/>
  <c r="N192" i="2"/>
  <c r="T192" i="2"/>
  <c r="U192" i="2"/>
  <c r="AA192" i="2"/>
  <c r="AB192" i="2"/>
  <c r="N193" i="2"/>
  <c r="T193" i="2"/>
  <c r="U193" i="2"/>
  <c r="AA193" i="2"/>
  <c r="AB193" i="2"/>
  <c r="N194" i="2"/>
  <c r="T194" i="2"/>
  <c r="U194" i="2"/>
  <c r="AA194" i="2"/>
  <c r="AB194" i="2"/>
  <c r="N195" i="2"/>
  <c r="T195" i="2"/>
  <c r="U195" i="2"/>
  <c r="AA195" i="2"/>
  <c r="AB195" i="2"/>
  <c r="N196" i="2"/>
  <c r="T196" i="2"/>
  <c r="U196" i="2"/>
  <c r="AA196" i="2"/>
  <c r="AB196" i="2"/>
  <c r="N197" i="2"/>
  <c r="T197" i="2"/>
  <c r="U197" i="2"/>
  <c r="AA197" i="2"/>
  <c r="AB197" i="2"/>
  <c r="N198" i="2"/>
  <c r="T198" i="2"/>
  <c r="U198" i="2"/>
  <c r="AA198" i="2"/>
  <c r="AB198" i="2"/>
  <c r="I199" i="2"/>
  <c r="N199" i="2"/>
  <c r="T199" i="2"/>
  <c r="U199" i="2"/>
  <c r="AA199" i="2"/>
  <c r="AB199" i="2"/>
  <c r="N200" i="2"/>
  <c r="T200" i="2"/>
  <c r="U200" i="2"/>
  <c r="AA200" i="2"/>
  <c r="AB200" i="2"/>
  <c r="N201" i="2"/>
  <c r="T201" i="2"/>
  <c r="U201" i="2"/>
  <c r="AA201" i="2"/>
  <c r="AB201" i="2"/>
  <c r="N202" i="2"/>
  <c r="T202" i="2"/>
  <c r="U202" i="2"/>
  <c r="AA202" i="2"/>
  <c r="AB202" i="2"/>
  <c r="F204" i="2"/>
  <c r="N203" i="2"/>
  <c r="N204" i="2"/>
  <c r="N205" i="2"/>
  <c r="N206" i="2"/>
  <c r="N207" i="2"/>
  <c r="N208" i="2"/>
  <c r="N209" i="2"/>
  <c r="N210" i="2"/>
  <c r="I211" i="2"/>
  <c r="N211" i="2"/>
  <c r="N212" i="2"/>
  <c r="N213" i="2"/>
  <c r="N214" i="2"/>
  <c r="I215" i="2"/>
  <c r="N215" i="2"/>
  <c r="H216" i="2"/>
  <c r="N216" i="2"/>
  <c r="N217" i="2"/>
  <c r="N218" i="2"/>
  <c r="I219" i="2"/>
  <c r="N219" i="2"/>
  <c r="I220" i="2"/>
  <c r="N220" i="2"/>
  <c r="N221" i="2"/>
  <c r="N222" i="2"/>
  <c r="N223" i="2"/>
  <c r="H224" i="2"/>
  <c r="N224" i="2"/>
  <c r="N225" i="2"/>
  <c r="N226" i="2"/>
  <c r="N227" i="2"/>
  <c r="F228" i="2"/>
  <c r="N228" i="2"/>
  <c r="N229" i="2"/>
  <c r="N230" i="2"/>
  <c r="N231" i="2"/>
  <c r="F232" i="2"/>
  <c r="N232" i="2"/>
  <c r="N233" i="2"/>
  <c r="N234" i="2"/>
  <c r="N235" i="2"/>
  <c r="I238" i="2"/>
  <c r="N236" i="2"/>
  <c r="H237" i="2"/>
  <c r="N237" i="2"/>
  <c r="N238" i="2"/>
  <c r="N239" i="2"/>
  <c r="N240" i="2"/>
  <c r="N241" i="2"/>
  <c r="D242" i="2"/>
  <c r="H242" i="2"/>
  <c r="N242" i="2"/>
  <c r="D243" i="2"/>
  <c r="I243" i="2"/>
  <c r="N243" i="2"/>
  <c r="D244" i="2"/>
  <c r="N244" i="2"/>
  <c r="H245" i="2"/>
  <c r="I245" i="2"/>
  <c r="N245" i="2"/>
  <c r="F246" i="2"/>
  <c r="H246" i="2"/>
  <c r="I246" i="2"/>
  <c r="N246" i="2"/>
  <c r="F247" i="2"/>
  <c r="H247" i="2"/>
  <c r="I247" i="2"/>
  <c r="N247" i="2"/>
  <c r="F248" i="2"/>
  <c r="H248" i="2"/>
  <c r="I248" i="2"/>
  <c r="N248" i="2"/>
  <c r="F249" i="2"/>
  <c r="H249" i="2"/>
  <c r="I249" i="2"/>
  <c r="N249" i="2"/>
  <c r="F250" i="2"/>
  <c r="H250" i="2"/>
  <c r="I250" i="2"/>
  <c r="N250" i="2"/>
  <c r="F251" i="2"/>
  <c r="H251" i="2"/>
  <c r="I251" i="2"/>
  <c r="N251" i="2"/>
  <c r="F252" i="2"/>
  <c r="H252" i="2"/>
  <c r="I252" i="2"/>
  <c r="N252" i="2"/>
  <c r="F253" i="2"/>
  <c r="H253" i="2"/>
  <c r="I253" i="2"/>
  <c r="N253" i="2"/>
  <c r="F254" i="2"/>
  <c r="H254" i="2"/>
  <c r="I254" i="2"/>
  <c r="N254" i="2"/>
  <c r="F255" i="2"/>
  <c r="H255" i="2"/>
  <c r="I255" i="2"/>
  <c r="N255" i="2"/>
  <c r="F256" i="2"/>
  <c r="H256" i="2"/>
  <c r="I256" i="2"/>
  <c r="N256" i="2"/>
  <c r="F257" i="2"/>
  <c r="H257" i="2"/>
  <c r="I257" i="2"/>
  <c r="N257" i="2"/>
  <c r="F258" i="2"/>
  <c r="H258" i="2"/>
  <c r="I258" i="2"/>
  <c r="N258" i="2"/>
  <c r="F259" i="2"/>
  <c r="H259" i="2"/>
  <c r="I259" i="2"/>
  <c r="N259" i="2"/>
  <c r="F260" i="2"/>
  <c r="H260" i="2"/>
  <c r="I260" i="2"/>
  <c r="N260" i="2"/>
  <c r="F261" i="2"/>
  <c r="H261" i="2"/>
  <c r="I261" i="2"/>
  <c r="N261" i="2"/>
  <c r="F262" i="2"/>
  <c r="H262" i="2"/>
  <c r="I262" i="2"/>
  <c r="N262" i="2"/>
  <c r="F263" i="2"/>
  <c r="H263" i="2"/>
  <c r="I263" i="2"/>
  <c r="N263" i="2"/>
  <c r="F264" i="2"/>
  <c r="H264" i="2"/>
  <c r="I264" i="2"/>
  <c r="N264" i="2"/>
  <c r="F265" i="2"/>
  <c r="H265" i="2"/>
  <c r="I265" i="2"/>
  <c r="N265" i="2"/>
  <c r="F266" i="2"/>
  <c r="H266" i="2"/>
  <c r="I266" i="2"/>
  <c r="N266" i="2"/>
  <c r="F267" i="2"/>
  <c r="H267" i="2"/>
  <c r="I267" i="2"/>
  <c r="N267" i="2"/>
  <c r="F268" i="2"/>
  <c r="H268" i="2"/>
  <c r="I268" i="2"/>
  <c r="N268" i="2"/>
  <c r="F269" i="2"/>
  <c r="H269" i="2"/>
  <c r="I269" i="2"/>
  <c r="N269" i="2"/>
  <c r="F270" i="2"/>
  <c r="H270" i="2"/>
  <c r="I270" i="2"/>
  <c r="N270" i="2"/>
  <c r="F271" i="2"/>
  <c r="H271" i="2"/>
  <c r="I271" i="2"/>
  <c r="N271" i="2"/>
  <c r="F272" i="2"/>
  <c r="H272" i="2"/>
  <c r="I272" i="2"/>
  <c r="N272" i="2"/>
  <c r="F273" i="2"/>
  <c r="H273" i="2"/>
  <c r="I273" i="2"/>
  <c r="N273" i="2"/>
  <c r="F274" i="2"/>
  <c r="H274" i="2"/>
  <c r="I274" i="2"/>
  <c r="N274" i="2"/>
  <c r="F275" i="2"/>
  <c r="H275" i="2"/>
  <c r="I275" i="2"/>
  <c r="N275" i="2"/>
  <c r="F276" i="2"/>
  <c r="H276" i="2"/>
  <c r="I276" i="2"/>
  <c r="N276" i="2"/>
  <c r="F277" i="2"/>
  <c r="H277" i="2"/>
  <c r="I277" i="2"/>
  <c r="N277" i="2"/>
  <c r="F278" i="2"/>
  <c r="H278" i="2"/>
  <c r="I278" i="2"/>
  <c r="N278" i="2"/>
  <c r="F279" i="2"/>
  <c r="H279" i="2"/>
  <c r="I279" i="2"/>
  <c r="N279" i="2"/>
  <c r="F280" i="2"/>
  <c r="H280" i="2"/>
  <c r="I280" i="2"/>
  <c r="N280" i="2"/>
  <c r="F281" i="2"/>
  <c r="H281" i="2"/>
  <c r="I281" i="2"/>
  <c r="N281" i="2"/>
  <c r="F282" i="2"/>
  <c r="H282" i="2"/>
  <c r="I282" i="2"/>
  <c r="N282" i="2"/>
  <c r="F283" i="2"/>
  <c r="H283" i="2"/>
  <c r="I283" i="2"/>
  <c r="N283" i="2"/>
  <c r="F284" i="2"/>
  <c r="H284" i="2"/>
  <c r="I284" i="2"/>
  <c r="N284" i="2"/>
  <c r="F285" i="2"/>
  <c r="H285" i="2"/>
  <c r="I285" i="2"/>
  <c r="N285" i="2"/>
  <c r="F286" i="2"/>
  <c r="H286" i="2"/>
  <c r="I286" i="2"/>
  <c r="N286" i="2"/>
  <c r="F287" i="2"/>
  <c r="H287" i="2"/>
  <c r="I287" i="2"/>
  <c r="N287" i="2"/>
  <c r="F288" i="2"/>
  <c r="H288" i="2"/>
  <c r="I288" i="2"/>
  <c r="N288" i="2"/>
  <c r="F289" i="2"/>
  <c r="H289" i="2"/>
  <c r="I289" i="2"/>
  <c r="N289" i="2"/>
  <c r="F290" i="2"/>
  <c r="H290" i="2"/>
  <c r="I290" i="2"/>
  <c r="N290" i="2"/>
  <c r="F291" i="2"/>
  <c r="H291" i="2"/>
  <c r="I291" i="2"/>
  <c r="N291" i="2"/>
  <c r="F292" i="2"/>
  <c r="H292" i="2"/>
  <c r="I292" i="2"/>
  <c r="N292" i="2"/>
  <c r="F293" i="2"/>
  <c r="H293" i="2"/>
  <c r="I293" i="2"/>
  <c r="N293" i="2"/>
  <c r="F294" i="2"/>
  <c r="H294" i="2"/>
  <c r="I294" i="2"/>
  <c r="N294" i="2"/>
  <c r="F295" i="2"/>
  <c r="H295" i="2"/>
  <c r="I295" i="2"/>
  <c r="N295" i="2"/>
  <c r="F296" i="2"/>
  <c r="H296" i="2"/>
  <c r="I296" i="2"/>
  <c r="N296" i="2"/>
  <c r="F297" i="2"/>
  <c r="H297" i="2"/>
  <c r="I297" i="2"/>
  <c r="N297" i="2"/>
  <c r="F298" i="2"/>
  <c r="H298" i="2"/>
  <c r="I298" i="2"/>
  <c r="N298" i="2"/>
  <c r="F299" i="2"/>
  <c r="H299" i="2"/>
  <c r="I299" i="2"/>
  <c r="N299" i="2"/>
  <c r="F300" i="2"/>
  <c r="H300" i="2"/>
  <c r="I300" i="2"/>
  <c r="N300" i="2"/>
  <c r="F301" i="2"/>
  <c r="H301" i="2"/>
  <c r="I301" i="2"/>
  <c r="N301" i="2"/>
  <c r="F302" i="2"/>
  <c r="H302" i="2"/>
  <c r="I302" i="2"/>
  <c r="N302" i="2"/>
  <c r="F303" i="2"/>
  <c r="H303" i="2"/>
  <c r="I303" i="2"/>
  <c r="N303" i="2"/>
  <c r="F304" i="2"/>
  <c r="H304" i="2"/>
  <c r="I304" i="2"/>
  <c r="N304" i="2"/>
  <c r="F305" i="2"/>
  <c r="H305" i="2"/>
  <c r="I305" i="2"/>
  <c r="N305" i="2"/>
  <c r="F306" i="2"/>
  <c r="H306" i="2"/>
  <c r="I306" i="2"/>
  <c r="N306" i="2"/>
  <c r="F307" i="2"/>
  <c r="H307" i="2"/>
  <c r="I307" i="2"/>
  <c r="N307" i="2"/>
  <c r="F308" i="2"/>
  <c r="H308" i="2"/>
  <c r="I308" i="2"/>
  <c r="N308" i="2"/>
  <c r="F309" i="2"/>
  <c r="H309" i="2"/>
  <c r="I309" i="2"/>
  <c r="N309" i="2"/>
  <c r="F310" i="2"/>
  <c r="H310" i="2"/>
  <c r="I310" i="2"/>
  <c r="N310" i="2"/>
  <c r="F311" i="2"/>
  <c r="H311" i="2"/>
  <c r="I311" i="2"/>
  <c r="N311" i="2"/>
  <c r="F312" i="2"/>
  <c r="H312" i="2"/>
  <c r="I312" i="2"/>
  <c r="N312" i="2"/>
  <c r="F313" i="2"/>
  <c r="H313" i="2"/>
  <c r="I313" i="2"/>
  <c r="N313" i="2"/>
  <c r="F314" i="2"/>
  <c r="H314" i="2"/>
  <c r="I314" i="2"/>
  <c r="N314" i="2"/>
  <c r="F315" i="2"/>
  <c r="H315" i="2"/>
  <c r="I315" i="2"/>
  <c r="N315" i="2"/>
  <c r="F316" i="2"/>
  <c r="H316" i="2"/>
  <c r="I316" i="2"/>
  <c r="N316" i="2"/>
  <c r="F317" i="2"/>
  <c r="H317" i="2"/>
  <c r="I317" i="2"/>
  <c r="N317" i="2"/>
  <c r="F318" i="2"/>
  <c r="H318" i="2"/>
  <c r="I318" i="2"/>
  <c r="N318" i="2"/>
  <c r="F319" i="2"/>
  <c r="H319" i="2"/>
  <c r="I319" i="2"/>
  <c r="N319" i="2"/>
  <c r="F320" i="2"/>
  <c r="H320" i="2"/>
  <c r="I320" i="2"/>
  <c r="N320" i="2"/>
  <c r="F321" i="2"/>
  <c r="H321" i="2"/>
  <c r="I321" i="2"/>
  <c r="N321" i="2"/>
  <c r="F322" i="2"/>
  <c r="H322" i="2"/>
  <c r="I322" i="2"/>
  <c r="N322" i="2"/>
  <c r="F323" i="2"/>
  <c r="H323" i="2"/>
  <c r="I323" i="2"/>
  <c r="N323" i="2"/>
  <c r="F324" i="2"/>
  <c r="H324" i="2"/>
  <c r="I324" i="2"/>
  <c r="N324" i="2"/>
  <c r="F325" i="2"/>
  <c r="H325" i="2"/>
  <c r="I325" i="2"/>
  <c r="N325" i="2"/>
  <c r="F326" i="2"/>
  <c r="H326" i="2"/>
  <c r="I326" i="2"/>
  <c r="N326" i="2"/>
  <c r="F327" i="2"/>
  <c r="H327" i="2"/>
  <c r="I327" i="2"/>
  <c r="N327" i="2"/>
  <c r="F328" i="2"/>
  <c r="H328" i="2"/>
  <c r="I328" i="2"/>
  <c r="N328" i="2"/>
  <c r="F329" i="2"/>
  <c r="H329" i="2"/>
  <c r="I329" i="2"/>
  <c r="N329" i="2"/>
  <c r="F330" i="2"/>
  <c r="H330" i="2"/>
  <c r="I330" i="2"/>
  <c r="N330" i="2"/>
  <c r="F331" i="2"/>
  <c r="H331" i="2"/>
  <c r="I331" i="2"/>
  <c r="N331" i="2"/>
  <c r="F332" i="2"/>
  <c r="H332" i="2"/>
  <c r="I332" i="2"/>
  <c r="N332" i="2"/>
  <c r="F333" i="2"/>
  <c r="H333" i="2"/>
  <c r="I333" i="2"/>
  <c r="N333" i="2"/>
  <c r="F334" i="2"/>
  <c r="H334" i="2"/>
  <c r="I334" i="2"/>
  <c r="N334" i="2"/>
  <c r="F335" i="2"/>
  <c r="H335" i="2"/>
  <c r="I335" i="2"/>
  <c r="N335" i="2"/>
  <c r="F336" i="2"/>
  <c r="H336" i="2"/>
  <c r="I336" i="2"/>
  <c r="N336" i="2"/>
  <c r="F337" i="2"/>
  <c r="H337" i="2"/>
  <c r="I337" i="2"/>
  <c r="N337" i="2"/>
  <c r="F338" i="2"/>
  <c r="H338" i="2"/>
  <c r="I338" i="2"/>
  <c r="N338" i="2"/>
  <c r="F339" i="2"/>
  <c r="H339" i="2"/>
  <c r="I339" i="2"/>
  <c r="N339" i="2"/>
  <c r="F340" i="2"/>
  <c r="H340" i="2"/>
  <c r="I340" i="2"/>
  <c r="N340" i="2"/>
  <c r="F341" i="2"/>
  <c r="H341" i="2"/>
  <c r="I341" i="2"/>
  <c r="N341" i="2"/>
  <c r="F342" i="2"/>
  <c r="H342" i="2"/>
  <c r="I342" i="2"/>
  <c r="N342" i="2"/>
  <c r="F343" i="2"/>
  <c r="H343" i="2"/>
  <c r="I343" i="2"/>
  <c r="N343" i="2"/>
  <c r="F344" i="2"/>
  <c r="H344" i="2"/>
  <c r="I344" i="2"/>
  <c r="N344" i="2"/>
  <c r="F345" i="2"/>
  <c r="H345" i="2"/>
  <c r="I345" i="2"/>
  <c r="N345" i="2"/>
  <c r="D346" i="2"/>
  <c r="F346" i="2"/>
  <c r="N346" i="2"/>
  <c r="H347" i="2"/>
  <c r="I347" i="2"/>
  <c r="N347" i="2"/>
  <c r="F348" i="2"/>
  <c r="H348" i="2"/>
  <c r="I348" i="2"/>
  <c r="N348" i="2"/>
  <c r="F349" i="2"/>
  <c r="H349" i="2"/>
  <c r="I349" i="2"/>
  <c r="N349" i="2"/>
  <c r="F350" i="2"/>
  <c r="H350" i="2"/>
  <c r="I350" i="2"/>
  <c r="N350" i="2"/>
  <c r="F351" i="2"/>
  <c r="H351" i="2"/>
  <c r="I351" i="2"/>
  <c r="N351" i="2"/>
  <c r="F352" i="2"/>
  <c r="H352" i="2"/>
  <c r="I352" i="2"/>
  <c r="N352" i="2"/>
  <c r="F353" i="2"/>
  <c r="H353" i="2"/>
  <c r="I353" i="2"/>
  <c r="N353" i="2"/>
  <c r="F354" i="2"/>
  <c r="H354" i="2"/>
  <c r="I354" i="2"/>
  <c r="N354" i="2"/>
  <c r="F355" i="2"/>
  <c r="H355" i="2"/>
  <c r="I355" i="2"/>
  <c r="N355" i="2"/>
  <c r="F356" i="2"/>
  <c r="H356" i="2"/>
  <c r="I356" i="2"/>
  <c r="N356" i="2"/>
  <c r="F357" i="2"/>
  <c r="H357" i="2"/>
  <c r="I357" i="2"/>
  <c r="N357" i="2"/>
  <c r="F358" i="2"/>
  <c r="H358" i="2"/>
  <c r="I358" i="2"/>
  <c r="N358" i="2"/>
  <c r="F359" i="2"/>
  <c r="H359" i="2"/>
  <c r="I359" i="2"/>
  <c r="N359" i="2"/>
  <c r="F360" i="2"/>
  <c r="H360" i="2"/>
  <c r="I360" i="2"/>
  <c r="N360" i="2"/>
  <c r="F361" i="2"/>
  <c r="H361" i="2"/>
  <c r="I361" i="2"/>
  <c r="N361" i="2"/>
  <c r="F362" i="2"/>
  <c r="H362" i="2"/>
  <c r="I362" i="2"/>
  <c r="N362" i="2"/>
  <c r="F363" i="2"/>
  <c r="H363" i="2"/>
  <c r="I363" i="2"/>
  <c r="N363" i="2"/>
  <c r="F364" i="2"/>
  <c r="H364" i="2"/>
  <c r="I364" i="2"/>
  <c r="N364" i="2"/>
  <c r="F365" i="2"/>
  <c r="H365" i="2"/>
  <c r="I365" i="2"/>
  <c r="N365" i="2"/>
  <c r="F366" i="2"/>
  <c r="H366" i="2"/>
  <c r="I366" i="2"/>
  <c r="N366" i="2"/>
  <c r="F367" i="2"/>
  <c r="H367" i="2"/>
  <c r="I367" i="2"/>
  <c r="N367" i="2"/>
  <c r="F368" i="2"/>
  <c r="H368" i="2"/>
  <c r="I368" i="2"/>
  <c r="N368" i="2"/>
  <c r="F369" i="2"/>
  <c r="H369" i="2"/>
  <c r="I369" i="2"/>
  <c r="N369" i="2"/>
  <c r="F370" i="2"/>
  <c r="H370" i="2"/>
  <c r="I370" i="2"/>
  <c r="N370" i="2"/>
  <c r="F371" i="2"/>
  <c r="H371" i="2"/>
  <c r="I371" i="2"/>
  <c r="N371" i="2"/>
  <c r="F372" i="2"/>
  <c r="H372" i="2"/>
  <c r="I372" i="2"/>
  <c r="N372" i="2"/>
  <c r="F373" i="2"/>
  <c r="H373" i="2"/>
  <c r="I373" i="2"/>
  <c r="N373" i="2"/>
  <c r="F374" i="2"/>
  <c r="H374" i="2"/>
  <c r="I374" i="2"/>
  <c r="N374" i="2"/>
  <c r="F375" i="2"/>
  <c r="H375" i="2"/>
  <c r="I375" i="2"/>
  <c r="N375" i="2"/>
  <c r="F376" i="2"/>
  <c r="H376" i="2"/>
  <c r="I376" i="2"/>
  <c r="N376" i="2"/>
  <c r="F377" i="2"/>
  <c r="H377" i="2"/>
  <c r="I377" i="2"/>
  <c r="N377" i="2"/>
  <c r="F378" i="2"/>
  <c r="H378" i="2"/>
  <c r="I378" i="2"/>
  <c r="N378" i="2"/>
  <c r="F379" i="2"/>
  <c r="H379" i="2"/>
  <c r="I379" i="2"/>
  <c r="N379" i="2"/>
  <c r="F380" i="2"/>
  <c r="H380" i="2"/>
  <c r="I380" i="2"/>
  <c r="N380" i="2"/>
  <c r="F381" i="2"/>
  <c r="H381" i="2"/>
  <c r="I381" i="2"/>
  <c r="N381" i="2"/>
  <c r="G5" i="9"/>
  <c r="G7" i="9"/>
  <c r="G9" i="9"/>
  <c r="G11" i="9"/>
  <c r="G13" i="9"/>
  <c r="G15" i="9"/>
  <c r="G17" i="9"/>
  <c r="G19" i="9"/>
  <c r="G21" i="9"/>
  <c r="I21" i="9"/>
  <c r="G23" i="9"/>
  <c r="G25" i="9"/>
  <c r="G27" i="9"/>
  <c r="G29" i="9"/>
  <c r="G31" i="9"/>
  <c r="G33" i="9"/>
  <c r="G35" i="9"/>
  <c r="G37" i="9"/>
  <c r="G55" i="9"/>
  <c r="G57" i="9"/>
  <c r="G59" i="9"/>
  <c r="G61" i="9"/>
  <c r="G63" i="9"/>
  <c r="G65" i="9"/>
  <c r="G67" i="9"/>
  <c r="G69" i="9"/>
  <c r="N9" i="2"/>
  <c r="F459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F347" i="2"/>
  <c r="H238" i="2"/>
  <c r="J39" i="2"/>
  <c r="J40" i="2"/>
  <c r="V38" i="2"/>
  <c r="W38" i="2"/>
  <c r="V30" i="2"/>
  <c r="W30" i="2"/>
  <c r="V22" i="2"/>
  <c r="W22" i="2"/>
  <c r="V14" i="2"/>
  <c r="W14" i="2"/>
  <c r="AB9" i="2"/>
  <c r="F243" i="2"/>
  <c r="H243" i="2"/>
  <c r="V34" i="2"/>
  <c r="W34" i="2"/>
  <c r="V26" i="2"/>
  <c r="W26" i="2"/>
  <c r="V18" i="2"/>
  <c r="W18" i="2"/>
  <c r="H244" i="2"/>
  <c r="F244" i="2"/>
  <c r="I242" i="2"/>
  <c r="W36" i="2"/>
  <c r="W28" i="2"/>
  <c r="W12" i="2"/>
  <c r="V6" i="2"/>
  <c r="W6" i="2"/>
  <c r="I461" i="2"/>
  <c r="V37" i="2"/>
  <c r="W37" i="2"/>
  <c r="V33" i="2"/>
  <c r="W33" i="2"/>
  <c r="V29" i="2"/>
  <c r="W29" i="2"/>
  <c r="V25" i="2"/>
  <c r="W25" i="2"/>
  <c r="V21" i="2"/>
  <c r="W21" i="2"/>
  <c r="V17" i="2"/>
  <c r="W17" i="2"/>
  <c r="V13" i="2"/>
  <c r="W13" i="2"/>
  <c r="V7" i="2"/>
  <c r="W7" i="2"/>
  <c r="H19" i="1"/>
  <c r="H20" i="1"/>
  <c r="P17" i="1"/>
  <c r="O17" i="1"/>
  <c r="N17" i="1"/>
  <c r="M17" i="1"/>
  <c r="I471" i="2"/>
  <c r="F464" i="2"/>
  <c r="H11" i="1"/>
  <c r="H7" i="1"/>
  <c r="H12" i="1"/>
  <c r="H13" i="1"/>
  <c r="H9" i="1"/>
  <c r="M8" i="1"/>
  <c r="N8" i="1"/>
  <c r="H14" i="1"/>
  <c r="H10" i="1"/>
  <c r="F239" i="2"/>
  <c r="I244" i="2"/>
  <c r="F245" i="2"/>
  <c r="I467" i="2"/>
  <c r="H230" i="2"/>
  <c r="I227" i="2"/>
  <c r="I225" i="2"/>
  <c r="I223" i="2"/>
  <c r="H221" i="2"/>
  <c r="H219" i="2"/>
  <c r="H217" i="2"/>
  <c r="I214" i="2"/>
  <c r="H212" i="2"/>
  <c r="H210" i="2"/>
  <c r="H208" i="2"/>
  <c r="H206" i="2"/>
  <c r="H204" i="2"/>
  <c r="I202" i="2"/>
  <c r="I201" i="2"/>
  <c r="H197" i="2"/>
  <c r="H190" i="2"/>
  <c r="H189" i="2"/>
  <c r="H187" i="2"/>
  <c r="I183" i="2"/>
  <c r="H181" i="2"/>
  <c r="H179" i="2"/>
  <c r="I177" i="2"/>
  <c r="I175" i="2"/>
  <c r="H173" i="2"/>
  <c r="I171" i="2"/>
  <c r="I169" i="2"/>
  <c r="H167" i="2"/>
  <c r="H165" i="2"/>
  <c r="I163" i="2"/>
  <c r="I161" i="2"/>
  <c r="I157" i="2"/>
  <c r="I155" i="2"/>
  <c r="I153" i="2"/>
  <c r="I151" i="2"/>
  <c r="I149" i="2"/>
  <c r="I147" i="2"/>
  <c r="I139" i="2"/>
  <c r="H133" i="2"/>
  <c r="I131" i="2"/>
  <c r="I127" i="2"/>
  <c r="H125" i="2"/>
  <c r="I123" i="2"/>
  <c r="H121" i="2"/>
  <c r="H119" i="2"/>
  <c r="H117" i="2"/>
  <c r="I115" i="2"/>
  <c r="H113" i="2"/>
  <c r="H111" i="2"/>
  <c r="I109" i="2"/>
  <c r="I107" i="2"/>
  <c r="I105" i="2"/>
  <c r="I103" i="2"/>
  <c r="I101" i="2"/>
  <c r="I99" i="2"/>
  <c r="H97" i="2"/>
  <c r="I95" i="2"/>
  <c r="H93" i="2"/>
  <c r="I91" i="2"/>
  <c r="I89" i="2"/>
  <c r="H87" i="2"/>
  <c r="I86" i="2"/>
  <c r="F85" i="2"/>
  <c r="H84" i="2"/>
  <c r="I83" i="2"/>
  <c r="H82" i="2"/>
  <c r="J81" i="2"/>
  <c r="J80" i="2"/>
  <c r="H77" i="2"/>
  <c r="H76" i="2"/>
  <c r="F75" i="2"/>
  <c r="I74" i="2"/>
  <c r="I73" i="2"/>
  <c r="H72" i="2"/>
  <c r="H71" i="2"/>
  <c r="F70" i="2"/>
  <c r="J69" i="2"/>
  <c r="I68" i="2"/>
  <c r="I66" i="2"/>
  <c r="H65" i="2"/>
  <c r="I64" i="2"/>
  <c r="H63" i="2"/>
  <c r="H62" i="2"/>
  <c r="H61" i="2"/>
  <c r="I59" i="2"/>
  <c r="I58" i="2"/>
  <c r="H56" i="2"/>
  <c r="H54" i="2"/>
  <c r="H53" i="2"/>
  <c r="H52" i="2"/>
  <c r="I51" i="2"/>
  <c r="I50" i="2"/>
  <c r="H49" i="2"/>
  <c r="I48" i="2"/>
  <c r="H46" i="2"/>
  <c r="I44" i="2"/>
  <c r="H43" i="2"/>
  <c r="F42" i="2"/>
  <c r="H41" i="2"/>
  <c r="I235" i="2"/>
  <c r="I233" i="2"/>
  <c r="I231" i="2"/>
  <c r="I226" i="2"/>
  <c r="I222" i="2"/>
  <c r="I216" i="2"/>
  <c r="H213" i="2"/>
  <c r="I209" i="2"/>
  <c r="I207" i="2"/>
  <c r="I203" i="2"/>
  <c r="I200" i="2"/>
  <c r="I198" i="2"/>
  <c r="I196" i="2"/>
  <c r="H194" i="2"/>
  <c r="I192" i="2"/>
  <c r="I184" i="2"/>
  <c r="H182" i="2"/>
  <c r="I180" i="2"/>
  <c r="H178" i="2"/>
  <c r="H174" i="2"/>
  <c r="I172" i="2"/>
  <c r="H168" i="2"/>
  <c r="I166" i="2"/>
  <c r="H162" i="2"/>
  <c r="I160" i="2"/>
  <c r="H158" i="2"/>
  <c r="I154" i="2"/>
  <c r="I148" i="2"/>
  <c r="H146" i="2"/>
  <c r="I142" i="2"/>
  <c r="H140" i="2"/>
  <c r="H138" i="2"/>
  <c r="H132" i="2"/>
  <c r="I130" i="2"/>
  <c r="I126" i="2"/>
  <c r="I124" i="2"/>
  <c r="H122" i="2"/>
  <c r="H118" i="2"/>
  <c r="I116" i="2"/>
  <c r="I114" i="2"/>
  <c r="I110" i="2"/>
  <c r="I102" i="2"/>
  <c r="I100" i="2"/>
  <c r="I98" i="2"/>
  <c r="H96" i="2"/>
  <c r="I94" i="2"/>
  <c r="H92" i="2"/>
  <c r="I90" i="2"/>
  <c r="I88" i="2"/>
  <c r="I459" i="2"/>
  <c r="H471" i="2"/>
  <c r="J60" i="2"/>
  <c r="F460" i="2"/>
  <c r="H5" i="1"/>
  <c r="H6" i="1"/>
  <c r="P6" i="1"/>
  <c r="J47" i="2"/>
  <c r="J45" i="2"/>
  <c r="F469" i="2"/>
  <c r="F238" i="2"/>
  <c r="F467" i="2"/>
  <c r="F468" i="2"/>
  <c r="H469" i="2"/>
  <c r="I346" i="2"/>
  <c r="H346" i="2"/>
  <c r="H459" i="2"/>
  <c r="H464" i="2"/>
  <c r="H461" i="2"/>
  <c r="F465" i="2"/>
  <c r="F466" i="2"/>
  <c r="F470" i="2"/>
  <c r="H101" i="2"/>
  <c r="F67" i="2"/>
  <c r="I122" i="2"/>
  <c r="F57" i="2"/>
  <c r="F50" i="2"/>
  <c r="H227" i="2"/>
  <c r="F62" i="2"/>
  <c r="F45" i="2"/>
  <c r="H196" i="2"/>
  <c r="H109" i="2"/>
  <c r="J42" i="2"/>
  <c r="H228" i="2"/>
  <c r="J68" i="2"/>
  <c r="H223" i="2"/>
  <c r="I80" i="2"/>
  <c r="I75" i="2"/>
  <c r="F144" i="2"/>
  <c r="F149" i="2"/>
  <c r="I152" i="2"/>
  <c r="F194" i="2"/>
  <c r="I97" i="2"/>
  <c r="H106" i="2"/>
  <c r="I27" i="1"/>
  <c r="F147" i="2"/>
  <c r="H202" i="2"/>
  <c r="F145" i="2"/>
  <c r="H105" i="2"/>
  <c r="H183" i="2"/>
  <c r="F226" i="2"/>
  <c r="I93" i="2"/>
  <c r="H150" i="2"/>
  <c r="H130" i="2"/>
  <c r="F179" i="2"/>
  <c r="F146" i="2"/>
  <c r="I146" i="2"/>
  <c r="H90" i="2"/>
  <c r="H89" i="2"/>
  <c r="F229" i="2"/>
  <c r="H142" i="2"/>
  <c r="I118" i="2"/>
  <c r="H209" i="2"/>
  <c r="I145" i="2"/>
  <c r="H126" i="2"/>
  <c r="F151" i="2"/>
  <c r="F143" i="2"/>
  <c r="F61" i="2"/>
  <c r="F68" i="2"/>
  <c r="I213" i="2"/>
  <c r="H127" i="2"/>
  <c r="I111" i="2"/>
  <c r="H143" i="2"/>
  <c r="I182" i="2"/>
  <c r="J76" i="2"/>
  <c r="F150" i="2"/>
  <c r="I41" i="2"/>
  <c r="H147" i="2"/>
  <c r="I165" i="2"/>
  <c r="F148" i="2"/>
  <c r="H172" i="2"/>
  <c r="H75" i="2"/>
  <c r="F82" i="2"/>
  <c r="J43" i="2"/>
  <c r="F136" i="2"/>
  <c r="F225" i="2"/>
  <c r="H151" i="2"/>
  <c r="I150" i="2"/>
  <c r="H149" i="2"/>
  <c r="H145" i="2"/>
  <c r="I143" i="2"/>
  <c r="F131" i="2"/>
  <c r="H201" i="2"/>
  <c r="J53" i="2"/>
  <c r="F53" i="2"/>
  <c r="H161" i="2"/>
  <c r="J41" i="2"/>
  <c r="H131" i="2"/>
  <c r="I173" i="2"/>
  <c r="I217" i="2"/>
  <c r="H103" i="2"/>
  <c r="H91" i="2"/>
  <c r="F183" i="2"/>
  <c r="H235" i="2"/>
  <c r="H192" i="2"/>
  <c r="I119" i="2"/>
  <c r="F60" i="2"/>
  <c r="F119" i="2"/>
  <c r="H115" i="2"/>
  <c r="J52" i="2"/>
  <c r="F116" i="2"/>
  <c r="F108" i="2"/>
  <c r="H45" i="2"/>
  <c r="F104" i="2"/>
  <c r="J46" i="2"/>
  <c r="F48" i="2"/>
  <c r="H180" i="2"/>
  <c r="I53" i="2"/>
  <c r="F73" i="2"/>
  <c r="F71" i="2"/>
  <c r="F87" i="2"/>
  <c r="H57" i="2"/>
  <c r="H112" i="2"/>
  <c r="I224" i="2"/>
  <c r="J82" i="2"/>
  <c r="H154" i="2"/>
  <c r="J48" i="2"/>
  <c r="H69" i="2"/>
  <c r="H86" i="2"/>
  <c r="I179" i="2"/>
  <c r="J65" i="2"/>
  <c r="I158" i="2"/>
  <c r="F196" i="2"/>
  <c r="I187" i="2"/>
  <c r="I46" i="2"/>
  <c r="H78" i="2"/>
  <c r="F43" i="2"/>
  <c r="F58" i="2"/>
  <c r="F88" i="2"/>
  <c r="H163" i="2"/>
  <c r="I45" i="2"/>
  <c r="H74" i="2"/>
  <c r="F101" i="2"/>
  <c r="F120" i="2"/>
  <c r="J70" i="2"/>
  <c r="J75" i="2"/>
  <c r="F207" i="2"/>
  <c r="F99" i="2"/>
  <c r="F51" i="2"/>
  <c r="F142" i="2"/>
  <c r="F49" i="2"/>
  <c r="J49" i="2"/>
  <c r="I49" i="2"/>
  <c r="J50" i="2"/>
  <c r="I52" i="2"/>
  <c r="F74" i="2"/>
  <c r="H159" i="2"/>
  <c r="H48" i="2"/>
  <c r="F76" i="2"/>
  <c r="H85" i="2"/>
  <c r="I228" i="2"/>
  <c r="H175" i="2"/>
  <c r="I78" i="2"/>
  <c r="I42" i="2"/>
  <c r="H58" i="2"/>
  <c r="I162" i="2"/>
  <c r="I112" i="2"/>
  <c r="I167" i="2"/>
  <c r="I194" i="2"/>
  <c r="I47" i="2"/>
  <c r="J63" i="2"/>
  <c r="F180" i="2"/>
  <c r="H116" i="2"/>
  <c r="H67" i="2"/>
  <c r="H171" i="2"/>
  <c r="H222" i="2"/>
  <c r="F72" i="2"/>
  <c r="F233" i="2"/>
  <c r="I106" i="2"/>
  <c r="H98" i="2"/>
  <c r="I55" i="2"/>
  <c r="I70" i="2"/>
  <c r="F95" i="2"/>
  <c r="F118" i="2"/>
  <c r="J64" i="2"/>
  <c r="I69" i="2"/>
  <c r="F175" i="2"/>
  <c r="F98" i="2"/>
  <c r="F123" i="2"/>
  <c r="F236" i="2"/>
  <c r="F177" i="2"/>
  <c r="H186" i="2"/>
  <c r="H108" i="2"/>
  <c r="H214" i="2"/>
  <c r="H236" i="2"/>
  <c r="F166" i="2"/>
  <c r="H153" i="2"/>
  <c r="J74" i="2"/>
  <c r="F205" i="2"/>
  <c r="I125" i="2"/>
  <c r="H60" i="2"/>
  <c r="J73" i="2"/>
  <c r="H129" i="2"/>
  <c r="F193" i="2"/>
  <c r="I159" i="2"/>
  <c r="I206" i="2"/>
  <c r="H70" i="2"/>
  <c r="F90" i="2"/>
  <c r="J66" i="2"/>
  <c r="I76" i="2"/>
  <c r="F202" i="2"/>
  <c r="H73" i="2"/>
  <c r="H233" i="2"/>
  <c r="F192" i="2"/>
  <c r="H169" i="2"/>
  <c r="H94" i="2"/>
  <c r="F187" i="2"/>
  <c r="H123" i="2"/>
  <c r="H177" i="2"/>
  <c r="I65" i="2"/>
  <c r="F139" i="2"/>
  <c r="F173" i="2"/>
  <c r="J56" i="2"/>
  <c r="F140" i="2"/>
  <c r="F170" i="2"/>
  <c r="F80" i="2"/>
  <c r="F114" i="2"/>
  <c r="F235" i="2"/>
  <c r="I104" i="2"/>
  <c r="H137" i="2"/>
  <c r="H59" i="2"/>
  <c r="J59" i="2"/>
  <c r="F210" i="2"/>
  <c r="I230" i="2"/>
  <c r="J58" i="2"/>
  <c r="F159" i="2"/>
  <c r="H199" i="2"/>
  <c r="I57" i="2"/>
  <c r="F206" i="2"/>
  <c r="H64" i="2"/>
  <c r="I174" i="2"/>
  <c r="F65" i="2"/>
  <c r="F126" i="2"/>
  <c r="F86" i="2"/>
  <c r="I129" i="2"/>
  <c r="H104" i="2"/>
  <c r="J62" i="2"/>
  <c r="F91" i="2"/>
  <c r="H95" i="2"/>
  <c r="J78" i="2"/>
  <c r="F176" i="2"/>
  <c r="F83" i="2"/>
  <c r="I121" i="2"/>
  <c r="F110" i="2"/>
  <c r="J83" i="2"/>
  <c r="F174" i="2"/>
  <c r="F84" i="2"/>
  <c r="I205" i="2"/>
  <c r="F56" i="2"/>
  <c r="H107" i="2"/>
  <c r="I229" i="2"/>
  <c r="I43" i="2"/>
  <c r="F109" i="2"/>
  <c r="F41" i="2"/>
  <c r="J77" i="2"/>
  <c r="H225" i="2"/>
  <c r="I181" i="2"/>
  <c r="I178" i="2"/>
  <c r="I108" i="2"/>
  <c r="F69" i="2"/>
  <c r="F44" i="2"/>
  <c r="J57" i="2"/>
  <c r="H141" i="2"/>
  <c r="H80" i="2"/>
  <c r="I82" i="2"/>
  <c r="F111" i="2"/>
  <c r="F97" i="2"/>
  <c r="F164" i="2"/>
  <c r="I54" i="2"/>
  <c r="H88" i="2"/>
  <c r="F134" i="2"/>
  <c r="H205" i="2"/>
  <c r="F195" i="2"/>
  <c r="F137" i="2"/>
  <c r="F209" i="2"/>
  <c r="I56" i="2"/>
  <c r="F59" i="2"/>
  <c r="H83" i="2"/>
  <c r="F230" i="2"/>
  <c r="I85" i="2"/>
  <c r="I61" i="2"/>
  <c r="I113" i="2"/>
  <c r="F115" i="2"/>
  <c r="J55" i="2"/>
  <c r="I188" i="2"/>
  <c r="F155" i="2"/>
  <c r="H195" i="2"/>
  <c r="F234" i="2"/>
  <c r="I221" i="2"/>
  <c r="I81" i="2"/>
  <c r="I60" i="2"/>
  <c r="H81" i="2"/>
  <c r="I120" i="2"/>
  <c r="F188" i="2"/>
  <c r="F178" i="2"/>
  <c r="F81" i="2"/>
  <c r="I176" i="2"/>
  <c r="H42" i="2"/>
  <c r="I77" i="2"/>
  <c r="F167" i="2"/>
  <c r="F220" i="2"/>
  <c r="F96" i="2"/>
  <c r="I87" i="2"/>
  <c r="I79" i="2"/>
  <c r="F100" i="2"/>
  <c r="I208" i="2"/>
  <c r="F231" i="2"/>
  <c r="F227" i="2"/>
  <c r="J79" i="2"/>
  <c r="H229" i="2"/>
  <c r="F47" i="2"/>
  <c r="H166" i="2"/>
  <c r="F128" i="2"/>
  <c r="F52" i="2"/>
  <c r="J51" i="2"/>
  <c r="I67" i="2"/>
  <c r="J67" i="2"/>
  <c r="H114" i="2"/>
  <c r="I190" i="2"/>
  <c r="I191" i="2"/>
  <c r="J71" i="2"/>
  <c r="F127" i="2"/>
  <c r="F130" i="2"/>
  <c r="I141" i="2"/>
  <c r="I170" i="2"/>
  <c r="H193" i="2"/>
  <c r="H232" i="2"/>
  <c r="H66" i="2"/>
  <c r="F105" i="2"/>
  <c r="I96" i="2"/>
  <c r="F184" i="2"/>
  <c r="H157" i="2"/>
  <c r="F157" i="2"/>
  <c r="F156" i="2"/>
  <c r="F55" i="2"/>
  <c r="H139" i="2"/>
  <c r="H188" i="2"/>
  <c r="F66" i="2"/>
  <c r="I92" i="2"/>
  <c r="I195" i="2"/>
  <c r="I234" i="2"/>
  <c r="F191" i="2"/>
  <c r="F106" i="2"/>
  <c r="I197" i="2"/>
  <c r="F138" i="2"/>
  <c r="H44" i="2"/>
  <c r="J72" i="2"/>
  <c r="F89" i="2"/>
  <c r="I72" i="2"/>
  <c r="I164" i="2"/>
  <c r="F197" i="2"/>
  <c r="F102" i="2"/>
  <c r="F199" i="2"/>
  <c r="F63" i="2"/>
  <c r="H135" i="2"/>
  <c r="F135" i="2"/>
  <c r="F78" i="2"/>
  <c r="I133" i="2"/>
  <c r="H198" i="2"/>
  <c r="F224" i="2"/>
  <c r="H226" i="2"/>
  <c r="F163" i="2"/>
  <c r="H100" i="2"/>
  <c r="F94" i="2"/>
  <c r="F158" i="2"/>
  <c r="H102" i="2"/>
  <c r="F92" i="2"/>
  <c r="H99" i="2"/>
  <c r="H110" i="2"/>
  <c r="F214" i="2"/>
  <c r="F198" i="2"/>
  <c r="F117" i="2"/>
  <c r="J61" i="2"/>
  <c r="I232" i="2"/>
  <c r="H231" i="2"/>
  <c r="I138" i="2"/>
  <c r="I137" i="2"/>
  <c r="I136" i="2"/>
  <c r="I135" i="2"/>
  <c r="H134" i="2"/>
  <c r="H79" i="2"/>
  <c r="H68" i="2"/>
  <c r="H55" i="2"/>
  <c r="H47" i="2"/>
  <c r="I186" i="2"/>
  <c r="F141" i="2"/>
  <c r="H51" i="2"/>
  <c r="F171" i="2"/>
  <c r="F222" i="2"/>
  <c r="I71" i="2"/>
  <c r="F103" i="2"/>
  <c r="F129" i="2"/>
  <c r="H170" i="2"/>
  <c r="I193" i="2"/>
  <c r="H50" i="2"/>
  <c r="F201" i="2"/>
  <c r="F77" i="2"/>
  <c r="I204" i="2"/>
  <c r="F223" i="2"/>
  <c r="F46" i="2"/>
  <c r="I62" i="2"/>
  <c r="F64" i="2"/>
  <c r="H155" i="2"/>
  <c r="H234" i="2"/>
  <c r="I63" i="2"/>
  <c r="F93" i="2"/>
  <c r="F79" i="2"/>
  <c r="F125" i="2"/>
  <c r="F107" i="2"/>
  <c r="J44" i="2"/>
  <c r="F122" i="2"/>
  <c r="F212" i="2"/>
  <c r="F162" i="2"/>
  <c r="F54" i="2"/>
  <c r="F168" i="2"/>
  <c r="F160" i="2"/>
  <c r="F154" i="2"/>
  <c r="F213" i="2"/>
  <c r="J54" i="2"/>
  <c r="H200" i="2"/>
  <c r="I134" i="2"/>
  <c r="H184" i="2"/>
  <c r="F121" i="2"/>
  <c r="F211" i="2"/>
  <c r="I117" i="2"/>
  <c r="I210" i="2"/>
  <c r="I212" i="2"/>
  <c r="F132" i="2"/>
  <c r="F208" i="2"/>
  <c r="I84" i="2"/>
  <c r="F216" i="2"/>
  <c r="F215" i="2"/>
  <c r="H241" i="2"/>
  <c r="F241" i="2"/>
  <c r="I241" i="2"/>
  <c r="F242" i="2"/>
  <c r="H218" i="2"/>
  <c r="F219" i="2"/>
  <c r="I218" i="2"/>
  <c r="F218" i="2"/>
  <c r="F472" i="2"/>
  <c r="I460" i="2"/>
  <c r="H463" i="2"/>
  <c r="F461" i="2"/>
  <c r="I463" i="2"/>
  <c r="H466" i="2"/>
  <c r="H468" i="2"/>
  <c r="H470" i="2"/>
  <c r="F471" i="2"/>
  <c r="H387" i="2"/>
  <c r="X479" i="2"/>
  <c r="X480" i="2"/>
  <c r="X478" i="2"/>
  <c r="O6" i="1"/>
  <c r="O5" i="1"/>
  <c r="V91" i="2"/>
  <c r="W91" i="2"/>
  <c r="V107" i="2"/>
  <c r="W107" i="2"/>
  <c r="V123" i="2"/>
  <c r="W123" i="2"/>
  <c r="V139" i="2"/>
  <c r="W139" i="2"/>
  <c r="V155" i="2"/>
  <c r="W155" i="2"/>
  <c r="V171" i="2"/>
  <c r="W171" i="2"/>
  <c r="V187" i="2"/>
  <c r="W187" i="2"/>
  <c r="V202" i="2"/>
  <c r="W202" i="2"/>
  <c r="V100" i="2"/>
  <c r="W100" i="2"/>
  <c r="V116" i="2"/>
  <c r="W116" i="2"/>
  <c r="V132" i="2"/>
  <c r="W132" i="2"/>
  <c r="V148" i="2"/>
  <c r="W148" i="2"/>
  <c r="V180" i="2"/>
  <c r="W180" i="2"/>
  <c r="V198" i="2"/>
  <c r="W198" i="2"/>
  <c r="V101" i="2"/>
  <c r="W101" i="2"/>
  <c r="V117" i="2"/>
  <c r="W117" i="2"/>
  <c r="V133" i="2"/>
  <c r="W133" i="2"/>
  <c r="V149" i="2"/>
  <c r="W149" i="2"/>
  <c r="V181" i="2"/>
  <c r="W181" i="2"/>
  <c r="V191" i="2"/>
  <c r="W191" i="2"/>
  <c r="V42" i="2"/>
  <c r="W42" i="2"/>
  <c r="V46" i="2"/>
  <c r="W46" i="2"/>
  <c r="V50" i="2"/>
  <c r="W50" i="2"/>
  <c r="V54" i="2"/>
  <c r="W54" i="2"/>
  <c r="V58" i="2"/>
  <c r="W58" i="2"/>
  <c r="V62" i="2"/>
  <c r="W62" i="2"/>
  <c r="V66" i="2"/>
  <c r="W66" i="2"/>
  <c r="V70" i="2"/>
  <c r="W70" i="2"/>
  <c r="V74" i="2"/>
  <c r="W74" i="2"/>
  <c r="V78" i="2"/>
  <c r="W78" i="2"/>
  <c r="V82" i="2"/>
  <c r="W82" i="2"/>
  <c r="V86" i="2"/>
  <c r="W86" i="2"/>
  <c r="V102" i="2"/>
  <c r="W102" i="2"/>
  <c r="V134" i="2"/>
  <c r="W134" i="2"/>
  <c r="V150" i="2"/>
  <c r="W150" i="2"/>
  <c r="V166" i="2"/>
  <c r="W166" i="2"/>
  <c r="V200" i="2"/>
  <c r="W200" i="2"/>
  <c r="V87" i="2"/>
  <c r="W87" i="2"/>
  <c r="V103" i="2"/>
  <c r="W103" i="2"/>
  <c r="V119" i="2"/>
  <c r="W119" i="2"/>
  <c r="V135" i="2"/>
  <c r="W135" i="2"/>
  <c r="V151" i="2"/>
  <c r="W151" i="2"/>
  <c r="V167" i="2"/>
  <c r="W167" i="2"/>
  <c r="V183" i="2"/>
  <c r="W183" i="2"/>
  <c r="V201" i="2"/>
  <c r="W201" i="2"/>
  <c r="V96" i="2"/>
  <c r="W96" i="2"/>
  <c r="V112" i="2"/>
  <c r="W112" i="2"/>
  <c r="V144" i="2"/>
  <c r="W144" i="2"/>
  <c r="V160" i="2"/>
  <c r="W160" i="2"/>
  <c r="V176" i="2"/>
  <c r="W176" i="2"/>
  <c r="V194" i="2"/>
  <c r="W194" i="2"/>
  <c r="V97" i="2"/>
  <c r="W97" i="2"/>
  <c r="V113" i="2"/>
  <c r="W113" i="2"/>
  <c r="V129" i="2"/>
  <c r="W129" i="2"/>
  <c r="V145" i="2"/>
  <c r="W145" i="2"/>
  <c r="V161" i="2"/>
  <c r="W161" i="2"/>
  <c r="V177" i="2"/>
  <c r="W177" i="2"/>
  <c r="V190" i="2"/>
  <c r="W190" i="2"/>
  <c r="V41" i="2"/>
  <c r="W41" i="2"/>
  <c r="V45" i="2"/>
  <c r="W45" i="2"/>
  <c r="V49" i="2"/>
  <c r="W49" i="2"/>
  <c r="V53" i="2"/>
  <c r="W53" i="2"/>
  <c r="V57" i="2"/>
  <c r="W57" i="2"/>
  <c r="V61" i="2"/>
  <c r="W61" i="2"/>
  <c r="V65" i="2"/>
  <c r="W65" i="2"/>
  <c r="V69" i="2"/>
  <c r="W69" i="2"/>
  <c r="V73" i="2"/>
  <c r="W73" i="2"/>
  <c r="V77" i="2"/>
  <c r="W77" i="2"/>
  <c r="V81" i="2"/>
  <c r="W81" i="2"/>
  <c r="V85" i="2"/>
  <c r="W85" i="2"/>
  <c r="V98" i="2"/>
  <c r="W98" i="2"/>
  <c r="V114" i="2"/>
  <c r="W114" i="2"/>
  <c r="V130" i="2"/>
  <c r="W130" i="2"/>
  <c r="V146" i="2"/>
  <c r="W146" i="2"/>
  <c r="V162" i="2"/>
  <c r="W162" i="2"/>
  <c r="V178" i="2"/>
  <c r="W178" i="2"/>
  <c r="V196" i="2"/>
  <c r="W196" i="2"/>
  <c r="V99" i="2"/>
  <c r="W99" i="2"/>
  <c r="V115" i="2"/>
  <c r="W115" i="2"/>
  <c r="V131" i="2"/>
  <c r="W131" i="2"/>
  <c r="V147" i="2"/>
  <c r="W147" i="2"/>
  <c r="V163" i="2"/>
  <c r="W163" i="2"/>
  <c r="V179" i="2"/>
  <c r="W179" i="2"/>
  <c r="V197" i="2"/>
  <c r="W197" i="2"/>
  <c r="V92" i="2"/>
  <c r="W92" i="2"/>
  <c r="V108" i="2"/>
  <c r="W108" i="2"/>
  <c r="V124" i="2"/>
  <c r="W124" i="2"/>
  <c r="V140" i="2"/>
  <c r="W140" i="2"/>
  <c r="V156" i="2"/>
  <c r="W156" i="2"/>
  <c r="V172" i="2"/>
  <c r="W172" i="2"/>
  <c r="V188" i="2"/>
  <c r="W188" i="2"/>
  <c r="V93" i="2"/>
  <c r="W93" i="2"/>
  <c r="V109" i="2"/>
  <c r="W109" i="2"/>
  <c r="V125" i="2"/>
  <c r="W125" i="2"/>
  <c r="V141" i="2"/>
  <c r="W141" i="2"/>
  <c r="V157" i="2"/>
  <c r="W157" i="2"/>
  <c r="V44" i="2"/>
  <c r="W44" i="2"/>
  <c r="V48" i="2"/>
  <c r="W48" i="2"/>
  <c r="V52" i="2"/>
  <c r="W52" i="2"/>
  <c r="V60" i="2"/>
  <c r="W60" i="2"/>
  <c r="V64" i="2"/>
  <c r="W64" i="2"/>
  <c r="V68" i="2"/>
  <c r="W68" i="2"/>
  <c r="V72" i="2"/>
  <c r="W72" i="2"/>
  <c r="V76" i="2"/>
  <c r="W76" i="2"/>
  <c r="V80" i="2"/>
  <c r="W80" i="2"/>
  <c r="V84" i="2"/>
  <c r="W84" i="2"/>
  <c r="V94" i="2"/>
  <c r="W94" i="2"/>
  <c r="V110" i="2"/>
  <c r="W110" i="2"/>
  <c r="V126" i="2"/>
  <c r="W126" i="2"/>
  <c r="V142" i="2"/>
  <c r="W142" i="2"/>
  <c r="V158" i="2"/>
  <c r="W158" i="2"/>
  <c r="V174" i="2"/>
  <c r="W174" i="2"/>
  <c r="V192" i="2"/>
  <c r="W192" i="2"/>
  <c r="V95" i="2"/>
  <c r="W95" i="2"/>
  <c r="V111" i="2"/>
  <c r="W111" i="2"/>
  <c r="V127" i="2"/>
  <c r="W127" i="2"/>
  <c r="V143" i="2"/>
  <c r="W143" i="2"/>
  <c r="V159" i="2"/>
  <c r="W159" i="2"/>
  <c r="V175" i="2"/>
  <c r="W175" i="2"/>
  <c r="V193" i="2"/>
  <c r="W193" i="2"/>
  <c r="V88" i="2"/>
  <c r="W88" i="2"/>
  <c r="V104" i="2"/>
  <c r="W104" i="2"/>
  <c r="V120" i="2"/>
  <c r="W120" i="2"/>
  <c r="V136" i="2"/>
  <c r="W136" i="2"/>
  <c r="V168" i="2"/>
  <c r="W168" i="2"/>
  <c r="V184" i="2"/>
  <c r="W184" i="2"/>
  <c r="V89" i="2"/>
  <c r="W89" i="2"/>
  <c r="V105" i="2"/>
  <c r="W105" i="2"/>
  <c r="V121" i="2"/>
  <c r="W121" i="2"/>
  <c r="V137" i="2"/>
  <c r="W137" i="2"/>
  <c r="V153" i="2"/>
  <c r="W153" i="2"/>
  <c r="V169" i="2"/>
  <c r="W169" i="2"/>
  <c r="V195" i="2"/>
  <c r="W195" i="2"/>
  <c r="V43" i="2"/>
  <c r="W43" i="2"/>
  <c r="V47" i="2"/>
  <c r="W47" i="2"/>
  <c r="V51" i="2"/>
  <c r="W51" i="2"/>
  <c r="V55" i="2"/>
  <c r="W55" i="2"/>
  <c r="V59" i="2"/>
  <c r="W59" i="2"/>
  <c r="V63" i="2"/>
  <c r="W63" i="2"/>
  <c r="V67" i="2"/>
  <c r="W67" i="2"/>
  <c r="V71" i="2"/>
  <c r="W71" i="2"/>
  <c r="V75" i="2"/>
  <c r="W75" i="2"/>
  <c r="V79" i="2"/>
  <c r="W79" i="2"/>
  <c r="V83" i="2"/>
  <c r="W83" i="2"/>
  <c r="V90" i="2"/>
  <c r="W90" i="2"/>
  <c r="V106" i="2"/>
  <c r="W106" i="2"/>
  <c r="V138" i="2"/>
  <c r="W138" i="2"/>
  <c r="V154" i="2"/>
  <c r="W154" i="2"/>
  <c r="V170" i="2"/>
  <c r="W170" i="2"/>
  <c r="V186" i="2"/>
  <c r="W186" i="2"/>
  <c r="P19" i="1"/>
  <c r="O19" i="1"/>
  <c r="N19" i="1"/>
  <c r="M19" i="1"/>
  <c r="P20" i="1"/>
  <c r="O20" i="1"/>
  <c r="N20" i="1"/>
  <c r="M20" i="1"/>
  <c r="M6" i="1"/>
  <c r="P10" i="1"/>
  <c r="M10" i="1"/>
  <c r="O10" i="1"/>
  <c r="N10" i="1"/>
  <c r="O13" i="1"/>
  <c r="N13" i="1"/>
  <c r="M13" i="1"/>
  <c r="P13" i="1"/>
  <c r="N16" i="1"/>
  <c r="M16" i="1"/>
  <c r="O16" i="1"/>
  <c r="P16" i="1"/>
  <c r="P11" i="1"/>
  <c r="O11" i="1"/>
  <c r="M11" i="1"/>
  <c r="N11" i="1"/>
  <c r="P14" i="1"/>
  <c r="M14" i="1"/>
  <c r="O14" i="1"/>
  <c r="N14" i="1"/>
  <c r="M9" i="1"/>
  <c r="O9" i="1"/>
  <c r="N9" i="1"/>
  <c r="P9" i="1"/>
  <c r="O15" i="1"/>
  <c r="M15" i="1"/>
  <c r="N15" i="1"/>
  <c r="P15" i="1"/>
  <c r="N12" i="1"/>
  <c r="M12" i="1"/>
  <c r="O12" i="1"/>
  <c r="P12" i="1"/>
  <c r="M7" i="1"/>
  <c r="N7" i="1"/>
  <c r="P7" i="1"/>
  <c r="O7" i="1"/>
  <c r="M5" i="1"/>
  <c r="N5" i="1"/>
  <c r="P5" i="1"/>
  <c r="N6" i="1"/>
  <c r="H27" i="1"/>
  <c r="B480" i="2"/>
  <c r="U22" i="1"/>
  <c r="U25" i="1"/>
  <c r="U24" i="1"/>
  <c r="AC24" i="1"/>
  <c r="U21" i="1"/>
  <c r="U18" i="1"/>
  <c r="U23" i="1"/>
  <c r="U19" i="1"/>
  <c r="U20" i="1"/>
  <c r="U10" i="1"/>
  <c r="U7" i="1"/>
  <c r="AC7" i="1"/>
  <c r="U11" i="1"/>
  <c r="U16" i="1"/>
  <c r="U13" i="1"/>
  <c r="U8" i="1"/>
  <c r="U12" i="1"/>
  <c r="U15" i="1"/>
  <c r="U9" i="1"/>
  <c r="U14" i="1"/>
  <c r="U17" i="1"/>
  <c r="P27" i="1"/>
  <c r="O27" i="1"/>
  <c r="U6" i="1"/>
  <c r="AC6" i="1"/>
  <c r="M27" i="1"/>
  <c r="U5" i="1"/>
  <c r="AC5" i="1"/>
  <c r="N27" i="1"/>
  <c r="U4" i="1"/>
  <c r="B481" i="2"/>
  <c r="AC14" i="1"/>
  <c r="AC8" i="1"/>
  <c r="AC23" i="1"/>
  <c r="AC25" i="1"/>
  <c r="AC17" i="1"/>
  <c r="AC12" i="1"/>
  <c r="AC11" i="1"/>
  <c r="AC10" i="1"/>
  <c r="AC19" i="1"/>
  <c r="AC4" i="1"/>
  <c r="AC15" i="1"/>
  <c r="AC16" i="1"/>
  <c r="AC20" i="1"/>
  <c r="AC21" i="1"/>
  <c r="AC9" i="1"/>
  <c r="AC13" i="1"/>
  <c r="AC18" i="1"/>
  <c r="AC22" i="1"/>
  <c r="AA27" i="1"/>
  <c r="AA29" i="1"/>
  <c r="Z27" i="1"/>
  <c r="U27" i="1"/>
  <c r="B482" i="2"/>
  <c r="AC27" i="1"/>
  <c r="Q27" i="1"/>
  <c r="F20" i="44"/>
  <c r="F18" i="44"/>
  <c r="H18" i="44"/>
  <c r="F11" i="44"/>
  <c r="F22" i="44"/>
  <c r="H22" i="44"/>
  <c r="AH21" i="45"/>
  <c r="Q13" i="39"/>
  <c r="AH18" i="45"/>
  <c r="P12" i="39"/>
  <c r="T33" i="45"/>
  <c r="T32" i="45"/>
  <c r="R11" i="39"/>
  <c r="AH45" i="45"/>
  <c r="Q11" i="39"/>
  <c r="P10" i="39"/>
  <c r="T19" i="45"/>
  <c r="Q10" i="39"/>
  <c r="Q8" i="39"/>
  <c r="F49" i="45"/>
  <c r="H20" i="44"/>
  <c r="F35" i="45"/>
  <c r="L18" i="44"/>
  <c r="T35" i="45"/>
  <c r="E15" i="44"/>
  <c r="L15" i="44"/>
  <c r="E32" i="45"/>
  <c r="Z18" i="45"/>
  <c r="D12" i="44"/>
  <c r="AA86" i="45"/>
  <c r="J32" i="39"/>
  <c r="L32" i="45"/>
  <c r="AA75" i="45"/>
  <c r="V122" i="2"/>
  <c r="W122" i="2"/>
  <c r="B483" i="2"/>
  <c r="V56" i="2"/>
  <c r="W56" i="2"/>
  <c r="V182" i="2"/>
  <c r="W182" i="2"/>
  <c r="V118" i="2"/>
  <c r="W118" i="2"/>
  <c r="F387" i="2"/>
  <c r="I387" i="2"/>
  <c r="H239" i="2"/>
  <c r="I239" i="2"/>
  <c r="V40" i="2"/>
  <c r="W40" i="2"/>
  <c r="V39" i="2"/>
  <c r="W39" i="2"/>
  <c r="V35" i="2"/>
  <c r="W35" i="2"/>
  <c r="V31" i="2"/>
  <c r="W31" i="2"/>
  <c r="V27" i="2"/>
  <c r="W27" i="2"/>
  <c r="V23" i="2"/>
  <c r="W23" i="2"/>
  <c r="V19" i="2"/>
  <c r="W19" i="2"/>
  <c r="V15" i="2"/>
  <c r="W15" i="2"/>
  <c r="V11" i="2"/>
  <c r="W11" i="2"/>
  <c r="T10" i="2"/>
  <c r="V10" i="2"/>
  <c r="W10" i="2"/>
  <c r="T9" i="2"/>
  <c r="V9" i="2"/>
  <c r="W9" i="2"/>
  <c r="U9" i="2"/>
  <c r="V4" i="2"/>
  <c r="W4" i="2"/>
  <c r="F240" i="2"/>
  <c r="H240" i="2"/>
  <c r="H215" i="2"/>
  <c r="F185" i="2"/>
  <c r="F169" i="2"/>
  <c r="F186" i="2"/>
  <c r="F165" i="2"/>
  <c r="F161" i="2"/>
  <c r="I128" i="2"/>
  <c r="F221" i="2"/>
  <c r="H160" i="2"/>
  <c r="F113" i="2"/>
  <c r="F190" i="2"/>
  <c r="I236" i="2"/>
  <c r="H124" i="2"/>
  <c r="F189" i="2"/>
  <c r="F203" i="2"/>
  <c r="F237" i="2"/>
  <c r="I189" i="2"/>
  <c r="I132" i="2"/>
  <c r="I144" i="2"/>
  <c r="H211" i="2"/>
  <c r="F152" i="2"/>
  <c r="H203" i="2"/>
  <c r="H207" i="2"/>
  <c r="H144" i="2"/>
  <c r="I156" i="2"/>
  <c r="H220" i="2"/>
  <c r="H185" i="2"/>
  <c r="I237" i="2"/>
  <c r="F200" i="2"/>
  <c r="F181" i="2"/>
  <c r="F153" i="2"/>
  <c r="F217" i="2"/>
  <c r="I240" i="2"/>
  <c r="AA10" i="2"/>
  <c r="AA9" i="2"/>
  <c r="H386" i="2"/>
  <c r="I386" i="2"/>
  <c r="F386" i="2"/>
  <c r="I522" i="2"/>
  <c r="F522" i="2"/>
  <c r="F523" i="2"/>
  <c r="I465" i="2"/>
  <c r="I527" i="2"/>
  <c r="H527" i="2"/>
  <c r="F527" i="2"/>
  <c r="F528" i="2"/>
  <c r="F482" i="2"/>
  <c r="I523" i="2"/>
  <c r="H523" i="2"/>
  <c r="F551" i="2"/>
  <c r="I550" i="2"/>
  <c r="H550" i="2"/>
  <c r="F550" i="2"/>
  <c r="I559" i="2"/>
  <c r="H559" i="2"/>
  <c r="F559" i="2"/>
  <c r="I538" i="2"/>
  <c r="H538" i="2"/>
  <c r="I537" i="2"/>
  <c r="F537" i="2"/>
  <c r="H548" i="2"/>
  <c r="F549" i="2"/>
  <c r="F548" i="2"/>
  <c r="F557" i="2"/>
  <c r="I557" i="2"/>
  <c r="H557" i="2"/>
  <c r="D591" i="2"/>
  <c r="D592" i="2"/>
  <c r="I540" i="2"/>
  <c r="H541" i="2"/>
  <c r="I541" i="2"/>
  <c r="F562" i="2"/>
  <c r="I561" i="2"/>
  <c r="F564" i="2"/>
  <c r="I566" i="2"/>
  <c r="H596" i="2"/>
  <c r="F596" i="2"/>
  <c r="R13" i="39"/>
  <c r="AH17" i="45"/>
  <c r="X80" i="45"/>
  <c r="AA80" i="45"/>
  <c r="E8" i="6"/>
  <c r="R12" i="39"/>
  <c r="T31" i="45"/>
  <c r="E11" i="6"/>
  <c r="P9" i="39"/>
  <c r="M47" i="45"/>
  <c r="R8" i="39"/>
  <c r="AA31" i="45"/>
  <c r="I19" i="44"/>
  <c r="Z46" i="45"/>
  <c r="M86" i="45"/>
  <c r="M74" i="45"/>
  <c r="M77" i="45"/>
  <c r="M73" i="45"/>
  <c r="E24" i="44"/>
  <c r="S32" i="45"/>
  <c r="M49" i="45"/>
  <c r="AA22" i="45"/>
  <c r="N5" i="44"/>
  <c r="J31" i="39"/>
  <c r="AA79" i="45"/>
  <c r="AG18" i="45"/>
  <c r="N11" i="44"/>
  <c r="S18" i="45"/>
  <c r="E14" i="44"/>
  <c r="X78" i="45"/>
  <c r="AA78" i="45"/>
  <c r="L46" i="45"/>
  <c r="E46" i="45"/>
  <c r="S46" i="45"/>
  <c r="H11" i="44"/>
  <c r="H7" i="44"/>
  <c r="AA77" i="45"/>
  <c r="J39" i="39"/>
  <c r="M75" i="45"/>
  <c r="X74" i="45"/>
  <c r="AA74" i="45"/>
  <c r="J38" i="39"/>
  <c r="C44" i="45"/>
  <c r="Q16" i="45"/>
  <c r="D14" i="44"/>
  <c r="J40" i="39"/>
  <c r="J44" i="39"/>
  <c r="X73" i="45"/>
  <c r="AA73" i="45"/>
  <c r="T21" i="45"/>
  <c r="E13" i="44"/>
  <c r="L13" i="44"/>
  <c r="R10" i="39"/>
  <c r="E8" i="44"/>
  <c r="N8" i="44"/>
  <c r="AA21" i="45"/>
  <c r="L76" i="45"/>
  <c r="M76" i="45"/>
  <c r="P11" i="39"/>
  <c r="AH47" i="45"/>
  <c r="E12" i="44"/>
  <c r="N12" i="44"/>
  <c r="P8" i="39"/>
  <c r="AA35" i="45"/>
  <c r="E12" i="6"/>
  <c r="E10" i="44"/>
  <c r="E6" i="44"/>
  <c r="L6" i="44"/>
  <c r="E9" i="6"/>
  <c r="P13" i="39"/>
  <c r="AH19" i="45"/>
  <c r="AH49" i="45"/>
  <c r="M46" i="45"/>
  <c r="J12" i="44"/>
  <c r="R9" i="39"/>
  <c r="I12" i="44"/>
  <c r="E16" i="44"/>
  <c r="L16" i="44"/>
  <c r="R6" i="39"/>
  <c r="J17" i="44"/>
  <c r="E17" i="44"/>
  <c r="AA18" i="45"/>
  <c r="J8" i="44"/>
  <c r="P14" i="39"/>
  <c r="AA19" i="45"/>
  <c r="E7" i="6"/>
  <c r="R14" i="39"/>
  <c r="E10" i="6"/>
  <c r="I10" i="44"/>
  <c r="I6" i="44"/>
  <c r="J21" i="44"/>
  <c r="F46" i="45"/>
  <c r="E13" i="6"/>
  <c r="E21" i="44"/>
  <c r="R7" i="39"/>
  <c r="F45" i="45"/>
  <c r="P7" i="39"/>
  <c r="F47" i="45"/>
  <c r="J16" i="44"/>
  <c r="F32" i="45"/>
  <c r="P6" i="39"/>
  <c r="F33" i="45"/>
  <c r="J19" i="44"/>
  <c r="E19" i="44"/>
  <c r="E36" i="6"/>
  <c r="G33" i="6"/>
  <c r="N15" i="44"/>
  <c r="J15" i="44"/>
  <c r="H597" i="2"/>
  <c r="I597" i="2"/>
  <c r="F597" i="2"/>
  <c r="X481" i="2"/>
  <c r="V165" i="2"/>
  <c r="W165" i="2"/>
  <c r="V189" i="2"/>
  <c r="W189" i="2"/>
  <c r="V128" i="2"/>
  <c r="W128" i="2"/>
  <c r="H591" i="2"/>
  <c r="F591" i="2"/>
  <c r="I591" i="2"/>
  <c r="V173" i="2"/>
  <c r="W173" i="2"/>
  <c r="V185" i="2"/>
  <c r="W185" i="2"/>
  <c r="B484" i="2"/>
  <c r="I388" i="2"/>
  <c r="H388" i="2"/>
  <c r="F388" i="2"/>
  <c r="F389" i="2"/>
  <c r="Q4" i="2"/>
  <c r="Q34" i="2"/>
  <c r="Q27" i="2"/>
  <c r="Q11" i="2"/>
  <c r="Q28" i="2"/>
  <c r="Q12" i="2"/>
  <c r="Q25" i="2"/>
  <c r="Q9" i="2"/>
  <c r="Q26" i="2"/>
  <c r="Q8" i="2"/>
  <c r="Q53" i="2"/>
  <c r="Q69" i="2"/>
  <c r="Q85" i="2"/>
  <c r="Q101" i="2"/>
  <c r="Q117" i="2"/>
  <c r="Q133" i="2"/>
  <c r="Q149" i="2"/>
  <c r="Q5" i="2"/>
  <c r="Q10" i="2"/>
  <c r="Q31" i="2"/>
  <c r="Q15" i="2"/>
  <c r="Q32" i="2"/>
  <c r="Q16" i="2"/>
  <c r="Q29" i="2"/>
  <c r="Q13" i="2"/>
  <c r="Q30" i="2"/>
  <c r="Q41" i="2"/>
  <c r="Q57" i="2"/>
  <c r="Q73" i="2"/>
  <c r="Q89" i="2"/>
  <c r="Q105" i="2"/>
  <c r="Q121" i="2"/>
  <c r="Q137" i="2"/>
  <c r="Q50" i="2"/>
  <c r="Q66" i="2"/>
  <c r="Q82" i="2"/>
  <c r="Q98" i="2"/>
  <c r="Q114" i="2"/>
  <c r="Q130" i="2"/>
  <c r="Q146" i="2"/>
  <c r="Q55" i="2"/>
  <c r="Q71" i="2"/>
  <c r="Q87" i="2"/>
  <c r="Q103" i="2"/>
  <c r="Q119" i="2"/>
  <c r="Q135" i="2"/>
  <c r="Q44" i="2"/>
  <c r="Q60" i="2"/>
  <c r="Q76" i="2"/>
  <c r="Q92" i="2"/>
  <c r="Q108" i="2"/>
  <c r="Q124" i="2"/>
  <c r="Q140" i="2"/>
  <c r="Q19" i="2"/>
  <c r="Q35" i="2"/>
  <c r="Q36" i="2"/>
  <c r="Q33" i="2"/>
  <c r="Q38" i="2"/>
  <c r="Q61" i="2"/>
  <c r="Q93" i="2"/>
  <c r="Q125" i="2"/>
  <c r="Q58" i="2"/>
  <c r="Q78" i="2"/>
  <c r="Q102" i="2"/>
  <c r="Q122" i="2"/>
  <c r="Q142" i="2"/>
  <c r="Q59" i="2"/>
  <c r="Q79" i="2"/>
  <c r="Q99" i="2"/>
  <c r="Q123" i="2"/>
  <c r="Q143" i="2"/>
  <c r="Q56" i="2"/>
  <c r="Q80" i="2"/>
  <c r="Q100" i="2"/>
  <c r="Q39" i="2"/>
  <c r="Q20" i="2"/>
  <c r="Q21" i="2"/>
  <c r="Q65" i="2"/>
  <c r="Q109" i="2"/>
  <c r="Q145" i="2"/>
  <c r="Q42" i="2"/>
  <c r="Q70" i="2"/>
  <c r="Q94" i="2"/>
  <c r="Q126" i="2"/>
  <c r="Q47" i="2"/>
  <c r="Q75" i="2"/>
  <c r="Q107" i="2"/>
  <c r="Q131" i="2"/>
  <c r="Q52" i="2"/>
  <c r="Q84" i="2"/>
  <c r="Q112" i="2"/>
  <c r="Q132" i="2"/>
  <c r="Q22" i="2"/>
  <c r="Q7" i="2"/>
  <c r="Q6" i="2"/>
  <c r="Q14" i="2"/>
  <c r="Q77" i="2"/>
  <c r="Q113" i="2"/>
  <c r="Q46" i="2"/>
  <c r="Q74" i="2"/>
  <c r="Q106" i="2"/>
  <c r="Q134" i="2"/>
  <c r="Q51" i="2"/>
  <c r="Q83" i="2"/>
  <c r="Q111" i="2"/>
  <c r="Q139" i="2"/>
  <c r="Q64" i="2"/>
  <c r="Q88" i="2"/>
  <c r="Q116" i="2"/>
  <c r="Q136" i="2"/>
  <c r="Q150" i="2"/>
  <c r="Q18" i="2"/>
  <c r="Q24" i="2"/>
  <c r="Q37" i="2"/>
  <c r="Q45" i="2"/>
  <c r="Q81" i="2"/>
  <c r="Q129" i="2"/>
  <c r="Q54" i="2"/>
  <c r="Q86" i="2"/>
  <c r="Q110" i="2"/>
  <c r="Q138" i="2"/>
  <c r="Q63" i="2"/>
  <c r="Q91" i="2"/>
  <c r="Q115" i="2"/>
  <c r="Q147" i="2"/>
  <c r="Q68" i="2"/>
  <c r="Q96" i="2"/>
  <c r="Q120" i="2"/>
  <c r="Q144" i="2"/>
  <c r="Q184" i="2"/>
  <c r="Q218" i="2"/>
  <c r="Q194" i="2"/>
  <c r="Q40" i="2"/>
  <c r="Q141" i="2"/>
  <c r="Q118" i="2"/>
  <c r="Q127" i="2"/>
  <c r="Q128" i="2"/>
  <c r="Q464" i="2"/>
  <c r="Q521" i="2"/>
  <c r="Q422" i="2"/>
  <c r="Q23" i="2"/>
  <c r="Q90" i="2"/>
  <c r="Q104" i="2"/>
  <c r="Q556" i="2"/>
  <c r="Q17" i="2"/>
  <c r="Q43" i="2"/>
  <c r="Q48" i="2"/>
  <c r="Q148" i="2"/>
  <c r="Q151" i="2"/>
  <c r="Q508" i="2"/>
  <c r="Q437" i="2"/>
  <c r="Q389" i="2"/>
  <c r="Q446" i="2"/>
  <c r="Q49" i="2"/>
  <c r="Q62" i="2"/>
  <c r="Q67" i="2"/>
  <c r="Q72" i="2"/>
  <c r="Q447" i="2"/>
  <c r="Q531" i="2"/>
  <c r="Q525" i="2"/>
  <c r="Q427" i="2"/>
  <c r="Q488" i="2"/>
  <c r="Q462" i="2"/>
  <c r="Q441" i="2"/>
  <c r="Q97" i="2"/>
  <c r="Q95" i="2"/>
  <c r="Q219" i="2"/>
  <c r="Q395" i="2"/>
  <c r="Q396" i="2"/>
  <c r="Q468" i="2"/>
  <c r="Q551" i="2"/>
  <c r="H567" i="2"/>
  <c r="I567" i="2"/>
  <c r="F567" i="2"/>
  <c r="Q308" i="2"/>
  <c r="V152" i="2"/>
  <c r="W152" i="2"/>
  <c r="V164" i="2"/>
  <c r="W164" i="2"/>
  <c r="X182" i="2"/>
  <c r="V199" i="2"/>
  <c r="W199" i="2"/>
  <c r="X15" i="2"/>
  <c r="X12" i="2"/>
  <c r="X28" i="2"/>
  <c r="X9" i="2"/>
  <c r="X25" i="2"/>
  <c r="X5" i="2"/>
  <c r="X18" i="2"/>
  <c r="X34" i="2"/>
  <c r="X19" i="2"/>
  <c r="X27" i="2"/>
  <c r="X16" i="2"/>
  <c r="X32" i="2"/>
  <c r="X13" i="2"/>
  <c r="X29" i="2"/>
  <c r="X6" i="2"/>
  <c r="X22" i="2"/>
  <c r="X38" i="2"/>
  <c r="X23" i="2"/>
  <c r="X20" i="2"/>
  <c r="X17" i="2"/>
  <c r="X10" i="2"/>
  <c r="X4" i="2"/>
  <c r="X8" i="2"/>
  <c r="X21" i="2"/>
  <c r="X26" i="2"/>
  <c r="X39" i="2"/>
  <c r="X54" i="2"/>
  <c r="X70" i="2"/>
  <c r="X86" i="2"/>
  <c r="X102" i="2"/>
  <c r="X118" i="2"/>
  <c r="X134" i="2"/>
  <c r="X150" i="2"/>
  <c r="X198" i="2"/>
  <c r="X262" i="2"/>
  <c r="X43" i="2"/>
  <c r="X59" i="2"/>
  <c r="X75" i="2"/>
  <c r="X91" i="2"/>
  <c r="X107" i="2"/>
  <c r="X123" i="2"/>
  <c r="X139" i="2"/>
  <c r="X203" i="2"/>
  <c r="X48" i="2"/>
  <c r="X64" i="2"/>
  <c r="X80" i="2"/>
  <c r="X96" i="2"/>
  <c r="X112" i="2"/>
  <c r="X128" i="2"/>
  <c r="X144" i="2"/>
  <c r="X192" i="2"/>
  <c r="X53" i="2"/>
  <c r="X69" i="2"/>
  <c r="X24" i="2"/>
  <c r="X33" i="2"/>
  <c r="X30" i="2"/>
  <c r="X7" i="2"/>
  <c r="X36" i="2"/>
  <c r="X37" i="2"/>
  <c r="X11" i="2"/>
  <c r="X46" i="2"/>
  <c r="X62" i="2"/>
  <c r="X78" i="2"/>
  <c r="X94" i="2"/>
  <c r="X110" i="2"/>
  <c r="X126" i="2"/>
  <c r="X142" i="2"/>
  <c r="X158" i="2"/>
  <c r="X222" i="2"/>
  <c r="X286" i="2"/>
  <c r="X51" i="2"/>
  <c r="X67" i="2"/>
  <c r="X83" i="2"/>
  <c r="X99" i="2"/>
  <c r="X115" i="2"/>
  <c r="X131" i="2"/>
  <c r="X147" i="2"/>
  <c r="X163" i="2"/>
  <c r="X227" i="2"/>
  <c r="X56" i="2"/>
  <c r="X72" i="2"/>
  <c r="X88" i="2"/>
  <c r="X104" i="2"/>
  <c r="X120" i="2"/>
  <c r="X136" i="2"/>
  <c r="X152" i="2"/>
  <c r="X216" i="2"/>
  <c r="X45" i="2"/>
  <c r="X61" i="2"/>
  <c r="X77" i="2"/>
  <c r="X93" i="2"/>
  <c r="X109" i="2"/>
  <c r="X125" i="2"/>
  <c r="X141" i="2"/>
  <c r="X205" i="2"/>
  <c r="X269" i="2"/>
  <c r="X333" i="2"/>
  <c r="X279" i="2"/>
  <c r="X368" i="2"/>
  <c r="X435" i="2"/>
  <c r="X288" i="2"/>
  <c r="X375" i="2"/>
  <c r="X440" i="2"/>
  <c r="X296" i="2"/>
  <c r="X381" i="2"/>
  <c r="X445" i="2"/>
  <c r="X298" i="2"/>
  <c r="X382" i="2"/>
  <c r="X446" i="2"/>
  <c r="X40" i="2"/>
  <c r="X50" i="2"/>
  <c r="X82" i="2"/>
  <c r="X114" i="2"/>
  <c r="X146" i="2"/>
  <c r="X210" i="2"/>
  <c r="X55" i="2"/>
  <c r="X87" i="2"/>
  <c r="X119" i="2"/>
  <c r="X151" i="2"/>
  <c r="X215" i="2"/>
  <c r="X44" i="2"/>
  <c r="X76" i="2"/>
  <c r="X108" i="2"/>
  <c r="X140" i="2"/>
  <c r="X65" i="2"/>
  <c r="X89" i="2"/>
  <c r="X113" i="2"/>
  <c r="X133" i="2"/>
  <c r="X153" i="2"/>
  <c r="X241" i="2"/>
  <c r="X325" i="2"/>
  <c r="X299" i="2"/>
  <c r="X407" i="2"/>
  <c r="X272" i="2"/>
  <c r="X388" i="2"/>
  <c r="X476" i="2"/>
  <c r="X371" i="2"/>
  <c r="X457" i="2"/>
  <c r="X346" i="2"/>
  <c r="X438" i="2"/>
  <c r="X42" i="2"/>
  <c r="X106" i="2"/>
  <c r="X138" i="2"/>
  <c r="X47" i="2"/>
  <c r="X111" i="2"/>
  <c r="X175" i="2"/>
  <c r="X68" i="2"/>
  <c r="X132" i="2"/>
  <c r="X57" i="2"/>
  <c r="X105" i="2"/>
  <c r="X149" i="2"/>
  <c r="X233" i="2"/>
  <c r="X255" i="2"/>
  <c r="X264" i="2"/>
  <c r="X468" i="2"/>
  <c r="X473" i="2"/>
  <c r="X454" i="2"/>
  <c r="X14" i="2"/>
  <c r="X58" i="2"/>
  <c r="X90" i="2"/>
  <c r="X122" i="2"/>
  <c r="X250" i="2"/>
  <c r="X63" i="2"/>
  <c r="X95" i="2"/>
  <c r="X127" i="2"/>
  <c r="X52" i="2"/>
  <c r="X84" i="2"/>
  <c r="X116" i="2"/>
  <c r="X148" i="2"/>
  <c r="X180" i="2"/>
  <c r="X41" i="2"/>
  <c r="X73" i="2"/>
  <c r="X97" i="2"/>
  <c r="X117" i="2"/>
  <c r="X137" i="2"/>
  <c r="X181" i="2"/>
  <c r="X265" i="2"/>
  <c r="X353" i="2"/>
  <c r="X336" i="2"/>
  <c r="X431" i="2"/>
  <c r="X316" i="2"/>
  <c r="X416" i="2"/>
  <c r="X291" i="2"/>
  <c r="X401" i="2"/>
  <c r="X252" i="2"/>
  <c r="X378" i="2"/>
  <c r="X466" i="2"/>
  <c r="X31" i="2"/>
  <c r="X66" i="2"/>
  <c r="X98" i="2"/>
  <c r="X130" i="2"/>
  <c r="X226" i="2"/>
  <c r="X71" i="2"/>
  <c r="X103" i="2"/>
  <c r="X135" i="2"/>
  <c r="X231" i="2"/>
  <c r="X60" i="2"/>
  <c r="X92" i="2"/>
  <c r="X124" i="2"/>
  <c r="X156" i="2"/>
  <c r="X49" i="2"/>
  <c r="X81" i="2"/>
  <c r="X101" i="2"/>
  <c r="X121" i="2"/>
  <c r="X145" i="2"/>
  <c r="X165" i="2"/>
  <c r="X249" i="2"/>
  <c r="X337" i="2"/>
  <c r="X315" i="2"/>
  <c r="X415" i="2"/>
  <c r="X295" i="2"/>
  <c r="X400" i="2"/>
  <c r="X259" i="2"/>
  <c r="X385" i="2"/>
  <c r="X469" i="2"/>
  <c r="X303" i="2"/>
  <c r="X356" i="2"/>
  <c r="X406" i="2"/>
  <c r="X450" i="2"/>
  <c r="X207" i="2"/>
  <c r="X35" i="2"/>
  <c r="X74" i="2"/>
  <c r="X234" i="2"/>
  <c r="X79" i="2"/>
  <c r="X143" i="2"/>
  <c r="X239" i="2"/>
  <c r="X100" i="2"/>
  <c r="X164" i="2"/>
  <c r="X85" i="2"/>
  <c r="X129" i="2"/>
  <c r="X169" i="2"/>
  <c r="X277" i="2"/>
  <c r="X361" i="2"/>
  <c r="X352" i="2"/>
  <c r="X443" i="2"/>
  <c r="X300" i="2"/>
  <c r="X404" i="2"/>
  <c r="X275" i="2"/>
  <c r="X409" i="2"/>
  <c r="X276" i="2"/>
  <c r="X390" i="2"/>
  <c r="X474" i="2"/>
  <c r="J6" i="44"/>
  <c r="I15" i="44"/>
  <c r="L8" i="44"/>
  <c r="AH46" i="45"/>
  <c r="M45" i="45"/>
  <c r="N14" i="44"/>
  <c r="L14" i="44"/>
  <c r="N16" i="44"/>
  <c r="L12" i="44"/>
  <c r="N13" i="44"/>
  <c r="T17" i="45"/>
  <c r="I13" i="44"/>
  <c r="N6" i="44"/>
  <c r="I17" i="44"/>
  <c r="AA32" i="45"/>
  <c r="AA33" i="45"/>
  <c r="J10" i="44"/>
  <c r="N10" i="44"/>
  <c r="L10" i="44"/>
  <c r="J13" i="44"/>
  <c r="T18" i="45"/>
  <c r="I21" i="44"/>
  <c r="I16" i="44"/>
  <c r="F31" i="45"/>
  <c r="E17" i="6"/>
  <c r="F12" i="6"/>
  <c r="G12" i="6"/>
  <c r="L17" i="44"/>
  <c r="N17" i="44"/>
  <c r="I14" i="44"/>
  <c r="J14" i="44"/>
  <c r="I8" i="44"/>
  <c r="AA17" i="45"/>
  <c r="N21" i="44"/>
  <c r="L21" i="44"/>
  <c r="G32" i="6"/>
  <c r="AC5" i="39"/>
  <c r="F19" i="44"/>
  <c r="H19" i="44"/>
  <c r="AH6" i="45"/>
  <c r="M24" i="45"/>
  <c r="R22" i="39"/>
  <c r="T4" i="45"/>
  <c r="T10" i="45"/>
  <c r="P22" i="39"/>
  <c r="Q22" i="39"/>
  <c r="AH3" i="45"/>
  <c r="N19" i="44"/>
  <c r="L19" i="44"/>
  <c r="G35" i="6"/>
  <c r="G31" i="6"/>
  <c r="G34" i="6"/>
  <c r="G30" i="6"/>
  <c r="G36" i="6"/>
  <c r="M38" i="45"/>
  <c r="X328" i="2"/>
  <c r="X348" i="2"/>
  <c r="X374" i="2"/>
  <c r="X293" i="2"/>
  <c r="X290" i="2"/>
  <c r="X324" i="2"/>
  <c r="X350" i="2"/>
  <c r="X370" i="2"/>
  <c r="X391" i="2"/>
  <c r="X309" i="2"/>
  <c r="X225" i="2"/>
  <c r="X186" i="2"/>
  <c r="X367" i="2"/>
  <c r="X384" i="2"/>
  <c r="X379" i="2"/>
  <c r="X394" i="2"/>
  <c r="X284" i="2"/>
  <c r="X417" i="2"/>
  <c r="X312" i="2"/>
  <c r="X432" i="2"/>
  <c r="X338" i="2"/>
  <c r="X447" i="2"/>
  <c r="X358" i="2"/>
  <c r="X369" i="2"/>
  <c r="X281" i="2"/>
  <c r="X197" i="2"/>
  <c r="X204" i="2"/>
  <c r="X274" i="2"/>
  <c r="X414" i="2"/>
  <c r="X340" i="2"/>
  <c r="X477" i="2"/>
  <c r="X413" i="2"/>
  <c r="X339" i="2"/>
  <c r="X472" i="2"/>
  <c r="X408" i="2"/>
  <c r="X332" i="2"/>
  <c r="X467" i="2"/>
  <c r="X403" i="2"/>
  <c r="X326" i="2"/>
  <c r="X365" i="2"/>
  <c r="X301" i="2"/>
  <c r="X237" i="2"/>
  <c r="X173" i="2"/>
  <c r="X184" i="2"/>
  <c r="X195" i="2"/>
  <c r="X254" i="2"/>
  <c r="X190" i="2"/>
  <c r="X224" i="2"/>
  <c r="X160" i="2"/>
  <c r="X235" i="2"/>
  <c r="X171" i="2"/>
  <c r="X230" i="2"/>
  <c r="X166" i="2"/>
  <c r="X548" i="2"/>
  <c r="X540" i="2"/>
  <c r="X551" i="2"/>
  <c r="X536" i="2"/>
  <c r="X511" i="2"/>
  <c r="X520" i="2"/>
  <c r="X530" i="2"/>
  <c r="X534" i="2"/>
  <c r="X565" i="2"/>
  <c r="X482" i="2"/>
  <c r="X524" i="2"/>
  <c r="X517" i="2"/>
  <c r="X547" i="2"/>
  <c r="X519" i="2"/>
  <c r="X528" i="2"/>
  <c r="X544" i="2"/>
  <c r="X483" i="2"/>
  <c r="X505" i="2"/>
  <c r="X521" i="2"/>
  <c r="X553" i="2"/>
  <c r="X522" i="2"/>
  <c r="X518" i="2"/>
  <c r="X492" i="2"/>
  <c r="X555" i="2"/>
  <c r="X535" i="2"/>
  <c r="X554" i="2"/>
  <c r="X525" i="2"/>
  <c r="X507" i="2"/>
  <c r="X493" i="2"/>
  <c r="X529" i="2"/>
  <c r="X561" i="2"/>
  <c r="X558" i="2"/>
  <c r="X502" i="2"/>
  <c r="X496" i="2"/>
  <c r="X523" i="2"/>
  <c r="X537" i="2"/>
  <c r="X500" i="2"/>
  <c r="X531" i="2"/>
  <c r="X490" i="2"/>
  <c r="X484" i="2"/>
  <c r="X515" i="2"/>
  <c r="X533" i="2"/>
  <c r="X498" i="2"/>
  <c r="X513" i="2"/>
  <c r="X563" i="2"/>
  <c r="X545" i="2"/>
  <c r="X559" i="2"/>
  <c r="X546" i="2"/>
  <c r="X494" i="2"/>
  <c r="X488" i="2"/>
  <c r="X509" i="2"/>
  <c r="X550" i="2"/>
  <c r="X549" i="2"/>
  <c r="X532" i="2"/>
  <c r="X516" i="2"/>
  <c r="X526" i="2"/>
  <c r="X486" i="2"/>
  <c r="X560" i="2"/>
  <c r="X514" i="2"/>
  <c r="X508" i="2"/>
  <c r="X527" i="2"/>
  <c r="X495" i="2"/>
  <c r="X566" i="2"/>
  <c r="X491" i="2"/>
  <c r="X557" i="2"/>
  <c r="X543" i="2"/>
  <c r="X562" i="2"/>
  <c r="X539" i="2"/>
  <c r="X510" i="2"/>
  <c r="X504" i="2"/>
  <c r="X499" i="2"/>
  <c r="X542" i="2"/>
  <c r="X538" i="2"/>
  <c r="X503" i="2"/>
  <c r="X497" i="2"/>
  <c r="X564" i="2"/>
  <c r="X506" i="2"/>
  <c r="X501" i="2"/>
  <c r="X552" i="2"/>
  <c r="X487" i="2"/>
  <c r="X485" i="2"/>
  <c r="X512" i="2"/>
  <c r="X489" i="2"/>
  <c r="X541" i="2"/>
  <c r="X556" i="2"/>
  <c r="Q477" i="2"/>
  <c r="Q529" i="2"/>
  <c r="Q483" i="2"/>
  <c r="Q192" i="2"/>
  <c r="Q540" i="2"/>
  <c r="Q431" i="2"/>
  <c r="Q394" i="2"/>
  <c r="Q498" i="2"/>
  <c r="Q412" i="2"/>
  <c r="Q526" i="2"/>
  <c r="Q515" i="2"/>
  <c r="Q197" i="2"/>
  <c r="Q549" i="2"/>
  <c r="Q506" i="2"/>
  <c r="Q459" i="2"/>
  <c r="Q552" i="2"/>
  <c r="Q364" i="2"/>
  <c r="Q391" i="2"/>
  <c r="Q514" i="2"/>
  <c r="Q246" i="2"/>
  <c r="Q518" i="2"/>
  <c r="Q356" i="2"/>
  <c r="Q209" i="2"/>
  <c r="Q201" i="2"/>
  <c r="Q262" i="2"/>
  <c r="Q249" i="2"/>
  <c r="X425" i="2"/>
  <c r="X444" i="2"/>
  <c r="X459" i="2"/>
  <c r="X377" i="2"/>
  <c r="X209" i="2"/>
  <c r="X220" i="2"/>
  <c r="X167" i="2"/>
  <c r="X162" i="2"/>
  <c r="X422" i="2"/>
  <c r="X441" i="2"/>
  <c r="X460" i="2"/>
  <c r="X475" i="2"/>
  <c r="X271" i="2"/>
  <c r="X191" i="2"/>
  <c r="X366" i="2"/>
  <c r="X297" i="2"/>
  <c r="X434" i="2"/>
  <c r="X453" i="2"/>
  <c r="X448" i="2"/>
  <c r="X463" i="2"/>
  <c r="X294" i="2"/>
  <c r="X213" i="2"/>
  <c r="X228" i="2"/>
  <c r="X170" i="2"/>
  <c r="X470" i="2"/>
  <c r="X386" i="2"/>
  <c r="X260" i="2"/>
  <c r="X405" i="2"/>
  <c r="X302" i="2"/>
  <c r="X420" i="2"/>
  <c r="X322" i="2"/>
  <c r="X439" i="2"/>
  <c r="X342" i="2"/>
  <c r="X357" i="2"/>
  <c r="X273" i="2"/>
  <c r="X185" i="2"/>
  <c r="X188" i="2"/>
  <c r="X258" i="2"/>
  <c r="X389" i="2"/>
  <c r="X402" i="2"/>
  <c r="X292" i="2"/>
  <c r="X421" i="2"/>
  <c r="X323" i="2"/>
  <c r="X436" i="2"/>
  <c r="X343" i="2"/>
  <c r="X455" i="2"/>
  <c r="X363" i="2"/>
  <c r="X373" i="2"/>
  <c r="X289" i="2"/>
  <c r="X201" i="2"/>
  <c r="X212" i="2"/>
  <c r="X159" i="2"/>
  <c r="X282" i="2"/>
  <c r="X154" i="2"/>
  <c r="X308" i="2"/>
  <c r="X307" i="2"/>
  <c r="X327" i="2"/>
  <c r="X320" i="2"/>
  <c r="X257" i="2"/>
  <c r="X202" i="2"/>
  <c r="X458" i="2"/>
  <c r="X372" i="2"/>
  <c r="X244" i="2"/>
  <c r="X393" i="2"/>
  <c r="X283" i="2"/>
  <c r="X412" i="2"/>
  <c r="X306" i="2"/>
  <c r="X427" i="2"/>
  <c r="X331" i="2"/>
  <c r="X345" i="2"/>
  <c r="X261" i="2"/>
  <c r="X177" i="2"/>
  <c r="X172" i="2"/>
  <c r="X242" i="2"/>
  <c r="X462" i="2"/>
  <c r="X398" i="2"/>
  <c r="X319" i="2"/>
  <c r="X461" i="2"/>
  <c r="X397" i="2"/>
  <c r="X318" i="2"/>
  <c r="X456" i="2"/>
  <c r="X392" i="2"/>
  <c r="X311" i="2"/>
  <c r="X451" i="2"/>
  <c r="X387" i="2"/>
  <c r="X304" i="2"/>
  <c r="X349" i="2"/>
  <c r="X285" i="2"/>
  <c r="X221" i="2"/>
  <c r="X157" i="2"/>
  <c r="X232" i="2"/>
  <c r="X168" i="2"/>
  <c r="X243" i="2"/>
  <c r="X179" i="2"/>
  <c r="X238" i="2"/>
  <c r="X174" i="2"/>
  <c r="X208" i="2"/>
  <c r="X219" i="2"/>
  <c r="X155" i="2"/>
  <c r="X278" i="2"/>
  <c r="X214" i="2"/>
  <c r="Q411" i="2"/>
  <c r="Q397" i="2"/>
  <c r="Q511" i="2"/>
  <c r="Q317" i="2"/>
  <c r="Q458" i="2"/>
  <c r="Q428" i="2"/>
  <c r="Q400" i="2"/>
  <c r="Q527" i="2"/>
  <c r="Q402" i="2"/>
  <c r="Q519" i="2"/>
  <c r="Q420" i="2"/>
  <c r="Q168" i="2"/>
  <c r="Q403" i="2"/>
  <c r="Q509" i="2"/>
  <c r="Q438" i="2"/>
  <c r="Q265" i="2"/>
  <c r="Q409" i="2"/>
  <c r="Q276" i="2"/>
  <c r="Q555" i="2"/>
  <c r="Q500" i="2"/>
  <c r="Q407" i="2"/>
  <c r="Q238" i="2"/>
  <c r="Q537" i="2"/>
  <c r="Q306" i="2"/>
  <c r="Q329" i="2"/>
  <c r="Q272" i="2"/>
  <c r="Q351" i="2"/>
  <c r="Q365" i="2"/>
  <c r="Q557" i="2"/>
  <c r="Q242" i="2"/>
  <c r="Q266" i="2"/>
  <c r="X335" i="2"/>
  <c r="X334" i="2"/>
  <c r="X359" i="2"/>
  <c r="X399" i="2"/>
  <c r="X321" i="2"/>
  <c r="X266" i="2"/>
  <c r="X426" i="2"/>
  <c r="X330" i="2"/>
  <c r="X449" i="2"/>
  <c r="X355" i="2"/>
  <c r="X464" i="2"/>
  <c r="X380" i="2"/>
  <c r="X248" i="2"/>
  <c r="X395" i="2"/>
  <c r="X287" i="2"/>
  <c r="X313" i="2"/>
  <c r="X229" i="2"/>
  <c r="X199" i="2"/>
  <c r="X194" i="2"/>
  <c r="X442" i="2"/>
  <c r="X351" i="2"/>
  <c r="X465" i="2"/>
  <c r="X376" i="2"/>
  <c r="X251" i="2"/>
  <c r="X396" i="2"/>
  <c r="X280" i="2"/>
  <c r="X411" i="2"/>
  <c r="X310" i="2"/>
  <c r="X329" i="2"/>
  <c r="X245" i="2"/>
  <c r="X161" i="2"/>
  <c r="X223" i="2"/>
  <c r="X218" i="2"/>
  <c r="X410" i="2"/>
  <c r="X433" i="2"/>
  <c r="X428" i="2"/>
  <c r="X423" i="2"/>
  <c r="X341" i="2"/>
  <c r="X193" i="2"/>
  <c r="X196" i="2"/>
  <c r="X418" i="2"/>
  <c r="X314" i="2"/>
  <c r="X437" i="2"/>
  <c r="X344" i="2"/>
  <c r="X452" i="2"/>
  <c r="X364" i="2"/>
  <c r="X471" i="2"/>
  <c r="X383" i="2"/>
  <c r="X263" i="2"/>
  <c r="X305" i="2"/>
  <c r="X217" i="2"/>
  <c r="X236" i="2"/>
  <c r="X183" i="2"/>
  <c r="X178" i="2"/>
  <c r="X430" i="2"/>
  <c r="X362" i="2"/>
  <c r="X268" i="2"/>
  <c r="X429" i="2"/>
  <c r="X360" i="2"/>
  <c r="X267" i="2"/>
  <c r="X424" i="2"/>
  <c r="X354" i="2"/>
  <c r="X256" i="2"/>
  <c r="X419" i="2"/>
  <c r="X347" i="2"/>
  <c r="X247" i="2"/>
  <c r="X317" i="2"/>
  <c r="X253" i="2"/>
  <c r="X189" i="2"/>
  <c r="X200" i="2"/>
  <c r="X211" i="2"/>
  <c r="X270" i="2"/>
  <c r="X206" i="2"/>
  <c r="X240" i="2"/>
  <c r="X176" i="2"/>
  <c r="X187" i="2"/>
  <c r="X246" i="2"/>
  <c r="Q169" i="2"/>
  <c r="Q188" i="2"/>
  <c r="Q252" i="2"/>
  <c r="Q316" i="2"/>
  <c r="Q233" i="2"/>
  <c r="Q318" i="2"/>
  <c r="Q191" i="2"/>
  <c r="Q277" i="2"/>
  <c r="Q353" i="2"/>
  <c r="Q214" i="2"/>
  <c r="Q299" i="2"/>
  <c r="Q370" i="2"/>
  <c r="Q226" i="2"/>
  <c r="Q311" i="2"/>
  <c r="Q379" i="2"/>
  <c r="Q189" i="2"/>
  <c r="Q152" i="2"/>
  <c r="Q240" i="2"/>
  <c r="Q324" i="2"/>
  <c r="Q270" i="2"/>
  <c r="Q167" i="2"/>
  <c r="Q287" i="2"/>
  <c r="Q154" i="2"/>
  <c r="Q283" i="2"/>
  <c r="Q378" i="2"/>
  <c r="Q263" i="2"/>
  <c r="Q367" i="2"/>
  <c r="Q200" i="2"/>
  <c r="Q288" i="2"/>
  <c r="Q222" i="2"/>
  <c r="Q332" i="2"/>
  <c r="Q239" i="2"/>
  <c r="Q345" i="2"/>
  <c r="Q230" i="2"/>
  <c r="Q342" i="2"/>
  <c r="Q215" i="2"/>
  <c r="Q327" i="2"/>
  <c r="Q373" i="2"/>
  <c r="Q164" i="2"/>
  <c r="Q248" i="2"/>
  <c r="Q166" i="2"/>
  <c r="Q286" i="2"/>
  <c r="Q183" i="2"/>
  <c r="Q303" i="2"/>
  <c r="Q178" i="2"/>
  <c r="Q294" i="2"/>
  <c r="Q155" i="2"/>
  <c r="Q279" i="2"/>
  <c r="Q375" i="2"/>
  <c r="Q487" i="2"/>
  <c r="Q405" i="2"/>
  <c r="Q489" i="2"/>
  <c r="Q490" i="2"/>
  <c r="Q296" i="2"/>
  <c r="Q357" i="2"/>
  <c r="Q339" i="2"/>
  <c r="Q533" i="2"/>
  <c r="Q560" i="2"/>
  <c r="Q448" i="2"/>
  <c r="Q484" i="2"/>
  <c r="Q469" i="2"/>
  <c r="Q550" i="2"/>
  <c r="Q502" i="2"/>
  <c r="Q473" i="2"/>
  <c r="Q443" i="2"/>
  <c r="Q460" i="2"/>
  <c r="Q478" i="2"/>
  <c r="Q330" i="2"/>
  <c r="Q388" i="2"/>
  <c r="Q415" i="2"/>
  <c r="Q520" i="2"/>
  <c r="Q535" i="2"/>
  <c r="Q320" i="2"/>
  <c r="Q385" i="2"/>
  <c r="Q359" i="2"/>
  <c r="Q562" i="2"/>
  <c r="Q493" i="2"/>
  <c r="Q491" i="2"/>
  <c r="Q449" i="2"/>
  <c r="Q558" i="2"/>
  <c r="Q528" i="2"/>
  <c r="Q453" i="2"/>
  <c r="Q475" i="2"/>
  <c r="Q461" i="2"/>
  <c r="Q547" i="2"/>
  <c r="Q479" i="2"/>
  <c r="Q426" i="2"/>
  <c r="Q542" i="2"/>
  <c r="Q291" i="2"/>
  <c r="Q305" i="2"/>
  <c r="Q165" i="2"/>
  <c r="Q185" i="2"/>
  <c r="Q204" i="2"/>
  <c r="Q268" i="2"/>
  <c r="Q158" i="2"/>
  <c r="Q254" i="2"/>
  <c r="Q340" i="2"/>
  <c r="Q213" i="2"/>
  <c r="Q298" i="2"/>
  <c r="Q369" i="2"/>
  <c r="Q235" i="2"/>
  <c r="Q321" i="2"/>
  <c r="Q386" i="2"/>
  <c r="Q247" i="2"/>
  <c r="Q331" i="2"/>
  <c r="Q348" i="2"/>
  <c r="Q176" i="2"/>
  <c r="Q260" i="2"/>
  <c r="Q182" i="2"/>
  <c r="Q302" i="2"/>
  <c r="Q202" i="2"/>
  <c r="Q314" i="2"/>
  <c r="Q198" i="2"/>
  <c r="Q310" i="2"/>
  <c r="Q171" i="2"/>
  <c r="Q295" i="2"/>
  <c r="Q387" i="2"/>
  <c r="Q161" i="2"/>
  <c r="Q181" i="2"/>
  <c r="Q156" i="2"/>
  <c r="Q220" i="2"/>
  <c r="Q284" i="2"/>
  <c r="Q190" i="2"/>
  <c r="Q275" i="2"/>
  <c r="Q368" i="2"/>
  <c r="Q234" i="2"/>
  <c r="Q319" i="2"/>
  <c r="Q162" i="2"/>
  <c r="Q257" i="2"/>
  <c r="Q338" i="2"/>
  <c r="Q179" i="2"/>
  <c r="Q269" i="2"/>
  <c r="Q347" i="2"/>
  <c r="Q380" i="2"/>
  <c r="Q196" i="2"/>
  <c r="Q280" i="2"/>
  <c r="Q217" i="2"/>
  <c r="Q328" i="2"/>
  <c r="Q229" i="2"/>
  <c r="Q341" i="2"/>
  <c r="Q225" i="2"/>
  <c r="Q334" i="2"/>
  <c r="Q210" i="2"/>
  <c r="Q322" i="2"/>
  <c r="Q372" i="2"/>
  <c r="Q160" i="2"/>
  <c r="Q244" i="2"/>
  <c r="Q281" i="2"/>
  <c r="Q175" i="2"/>
  <c r="Q293" i="2"/>
  <c r="Q170" i="2"/>
  <c r="Q289" i="2"/>
  <c r="Q382" i="2"/>
  <c r="Q274" i="2"/>
  <c r="Q371" i="2"/>
  <c r="Q208" i="2"/>
  <c r="Q292" i="2"/>
  <c r="Q227" i="2"/>
  <c r="Q344" i="2"/>
  <c r="Q245" i="2"/>
  <c r="Q349" i="2"/>
  <c r="Q241" i="2"/>
  <c r="Q346" i="2"/>
  <c r="Q221" i="2"/>
  <c r="Q335" i="2"/>
  <c r="Q381" i="2"/>
  <c r="Q566" i="2"/>
  <c r="Q559" i="2"/>
  <c r="Q504" i="2"/>
  <c r="Q470" i="2"/>
  <c r="Q352" i="2"/>
  <c r="Q350" i="2"/>
  <c r="Q501" i="2"/>
  <c r="Q539" i="2"/>
  <c r="Q450" i="2"/>
  <c r="Q406" i="2"/>
  <c r="Q499" i="2"/>
  <c r="Q522" i="2"/>
  <c r="Q457" i="2"/>
  <c r="Q418" i="2"/>
  <c r="Q444" i="2"/>
  <c r="Q323" i="2"/>
  <c r="Q433" i="2"/>
  <c r="Q561" i="2"/>
  <c r="Q523" i="2"/>
  <c r="Q482" i="2"/>
  <c r="Q425" i="2"/>
  <c r="Q374" i="2"/>
  <c r="Q410" i="2"/>
  <c r="Q554" i="2"/>
  <c r="Q439" i="2"/>
  <c r="Q419" i="2"/>
  <c r="Q494" i="2"/>
  <c r="Q505" i="2"/>
  <c r="Q408" i="2"/>
  <c r="Q399" i="2"/>
  <c r="Q401" i="2"/>
  <c r="Q199" i="2"/>
  <c r="Q481" i="2"/>
  <c r="Q463" i="2"/>
  <c r="Q256" i="2"/>
  <c r="Q309" i="2"/>
  <c r="Q285" i="2"/>
  <c r="Q153" i="2"/>
  <c r="Q172" i="2"/>
  <c r="Q236" i="2"/>
  <c r="Q300" i="2"/>
  <c r="Q211" i="2"/>
  <c r="Q297" i="2"/>
  <c r="Q159" i="2"/>
  <c r="Q255" i="2"/>
  <c r="Q337" i="2"/>
  <c r="Q193" i="2"/>
  <c r="Q278" i="2"/>
  <c r="Q354" i="2"/>
  <c r="Q205" i="2"/>
  <c r="Q290" i="2"/>
  <c r="Q363" i="2"/>
  <c r="Q157" i="2"/>
  <c r="Q216" i="2"/>
  <c r="Q304" i="2"/>
  <c r="Q243" i="2"/>
  <c r="Q360" i="2"/>
  <c r="Q261" i="2"/>
  <c r="Q361" i="2"/>
  <c r="Q251" i="2"/>
  <c r="Q358" i="2"/>
  <c r="Q237" i="2"/>
  <c r="Q343" i="2"/>
  <c r="Q180" i="2"/>
  <c r="Q264" i="2"/>
  <c r="Q195" i="2"/>
  <c r="Q307" i="2"/>
  <c r="Q207" i="2"/>
  <c r="Q325" i="2"/>
  <c r="Q203" i="2"/>
  <c r="Q315" i="2"/>
  <c r="Q187" i="2"/>
  <c r="Q301" i="2"/>
  <c r="Q336" i="2"/>
  <c r="Q173" i="2"/>
  <c r="Q228" i="2"/>
  <c r="Q312" i="2"/>
  <c r="Q259" i="2"/>
  <c r="Q384" i="2"/>
  <c r="Q271" i="2"/>
  <c r="Q377" i="2"/>
  <c r="Q267" i="2"/>
  <c r="Q366" i="2"/>
  <c r="Q253" i="2"/>
  <c r="Q355" i="2"/>
  <c r="Q471" i="2"/>
  <c r="Q564" i="2"/>
  <c r="Q429" i="2"/>
  <c r="Q472" i="2"/>
  <c r="Q212" i="2"/>
  <c r="Q250" i="2"/>
  <c r="Q231" i="2"/>
  <c r="Q454" i="2"/>
  <c r="Q451" i="2"/>
  <c r="Q532" i="2"/>
  <c r="Q417" i="2"/>
  <c r="Q538" i="2"/>
  <c r="Q513" i="2"/>
  <c r="Q495" i="2"/>
  <c r="Q465" i="2"/>
  <c r="Q436" i="2"/>
  <c r="Q536" i="2"/>
  <c r="Q333" i="2"/>
  <c r="Q524" i="2"/>
  <c r="Q440" i="2"/>
  <c r="Q503" i="2"/>
  <c r="Q392" i="2"/>
  <c r="Q177" i="2"/>
  <c r="Q232" i="2"/>
  <c r="Q282" i="2"/>
  <c r="Q258" i="2"/>
  <c r="Q510" i="2"/>
  <c r="Q565" i="2"/>
  <c r="Q553" i="2"/>
  <c r="Q497" i="2"/>
  <c r="Q430" i="2"/>
  <c r="Q546" i="2"/>
  <c r="Q496" i="2"/>
  <c r="Q486" i="2"/>
  <c r="Q414" i="2"/>
  <c r="Q393" i="2"/>
  <c r="Q534" i="2"/>
  <c r="Q530" i="2"/>
  <c r="Q467" i="2"/>
  <c r="Q174" i="2"/>
  <c r="Q186" i="2"/>
  <c r="Q383" i="2"/>
  <c r="Q548" i="2"/>
  <c r="Q434" i="2"/>
  <c r="Q421" i="2"/>
  <c r="Q424" i="2"/>
  <c r="Q492" i="2"/>
  <c r="Q507" i="2"/>
  <c r="Q455" i="2"/>
  <c r="Q466" i="2"/>
  <c r="Q435" i="2"/>
  <c r="Q541" i="2"/>
  <c r="Q206" i="2"/>
  <c r="Q543" i="2"/>
  <c r="Q398" i="2"/>
  <c r="Q390" i="2"/>
  <c r="Q517" i="2"/>
  <c r="Q474" i="2"/>
  <c r="Q223" i="2"/>
  <c r="Q545" i="2"/>
  <c r="Q442" i="2"/>
  <c r="Q476" i="2"/>
  <c r="Q485" i="2"/>
  <c r="Q544" i="2"/>
  <c r="Q413" i="2"/>
  <c r="Q516" i="2"/>
  <c r="Q563" i="2"/>
  <c r="Q163" i="2"/>
  <c r="Q445" i="2"/>
  <c r="Q423" i="2"/>
  <c r="Q480" i="2"/>
  <c r="Q273" i="2"/>
  <c r="Q452" i="2"/>
  <c r="Q416" i="2"/>
  <c r="Q404" i="2"/>
  <c r="Q432" i="2"/>
  <c r="Q512" i="2"/>
  <c r="Q456" i="2"/>
  <c r="Q326" i="2"/>
  <c r="Q313" i="2"/>
  <c r="Q362" i="2"/>
  <c r="Q376" i="2"/>
  <c r="Q224" i="2"/>
  <c r="B485" i="2"/>
  <c r="I568" i="2"/>
  <c r="F568" i="2"/>
  <c r="H568" i="2"/>
  <c r="F593" i="2"/>
  <c r="I592" i="2"/>
  <c r="F592" i="2"/>
  <c r="H592" i="2"/>
  <c r="I598" i="2"/>
  <c r="H598" i="2"/>
  <c r="F598" i="2"/>
  <c r="F15" i="6"/>
  <c r="G15" i="6"/>
  <c r="F13" i="6"/>
  <c r="G13" i="6"/>
  <c r="F6" i="6"/>
  <c r="G6" i="6"/>
  <c r="F16" i="6"/>
  <c r="G16" i="6"/>
  <c r="F11" i="6"/>
  <c r="G11" i="6"/>
  <c r="F7" i="6"/>
  <c r="G7" i="6"/>
  <c r="F10" i="6"/>
  <c r="G10" i="6"/>
  <c r="F14" i="6"/>
  <c r="G14" i="6"/>
  <c r="F8" i="6"/>
  <c r="G8" i="6"/>
  <c r="F5" i="6"/>
  <c r="G5" i="6"/>
  <c r="F9" i="6"/>
  <c r="G9" i="6"/>
  <c r="AC8" i="39"/>
  <c r="AC13" i="39"/>
  <c r="AH24" i="45"/>
  <c r="AA52" i="45"/>
  <c r="T24" i="45"/>
  <c r="F52" i="45"/>
  <c r="AH38" i="45"/>
  <c r="AA24" i="45"/>
  <c r="T52" i="45"/>
  <c r="T38" i="45"/>
  <c r="F38" i="45"/>
  <c r="AH52" i="45"/>
  <c r="AA38" i="45"/>
  <c r="M52" i="45"/>
  <c r="F13" i="44"/>
  <c r="H13" i="44"/>
  <c r="AC10" i="39"/>
  <c r="F6" i="44"/>
  <c r="H6" i="44"/>
  <c r="F24" i="45"/>
  <c r="F12" i="44"/>
  <c r="H12" i="44"/>
  <c r="AC9" i="39"/>
  <c r="AC14" i="39"/>
  <c r="F8" i="44"/>
  <c r="H8" i="44"/>
  <c r="M4" i="45"/>
  <c r="M10" i="45"/>
  <c r="AC12" i="39"/>
  <c r="F15" i="44"/>
  <c r="H15" i="44"/>
  <c r="F17" i="44"/>
  <c r="H17" i="44"/>
  <c r="AC6" i="39"/>
  <c r="F16" i="44"/>
  <c r="H16" i="44"/>
  <c r="F14" i="44"/>
  <c r="H14" i="44"/>
  <c r="F10" i="44"/>
  <c r="H10" i="44"/>
  <c r="AC11" i="39"/>
  <c r="F21" i="44"/>
  <c r="H21" i="44"/>
  <c r="AC7" i="39"/>
  <c r="AH9" i="45"/>
  <c r="AH10" i="45"/>
  <c r="F23" i="44"/>
  <c r="H23" i="44"/>
  <c r="I599" i="2"/>
  <c r="H599" i="2"/>
  <c r="F599" i="2"/>
  <c r="Q567" i="2"/>
  <c r="X567" i="2"/>
  <c r="B486" i="2"/>
  <c r="I569" i="2"/>
  <c r="H569" i="2"/>
  <c r="F569" i="2"/>
  <c r="F17" i="6"/>
  <c r="AC22" i="39"/>
  <c r="S22" i="39"/>
  <c r="B487" i="2"/>
  <c r="Q569" i="2"/>
  <c r="X568" i="2"/>
  <c r="Q568" i="2"/>
  <c r="H570" i="2"/>
  <c r="I570" i="2"/>
  <c r="F570" i="2"/>
  <c r="H600" i="2"/>
  <c r="F600" i="2"/>
  <c r="I600" i="2"/>
  <c r="F601" i="2"/>
  <c r="H10" i="6"/>
  <c r="H15" i="6"/>
  <c r="H12" i="6"/>
  <c r="H7" i="6"/>
  <c r="H6" i="6"/>
  <c r="H14" i="6"/>
  <c r="H11" i="6"/>
  <c r="H13" i="6"/>
  <c r="H8" i="6"/>
  <c r="H9" i="6"/>
  <c r="H16" i="6"/>
  <c r="F571" i="2"/>
  <c r="H571" i="2"/>
  <c r="I571" i="2"/>
  <c r="Q570" i="2"/>
  <c r="B488" i="2"/>
  <c r="X569" i="2"/>
  <c r="X570" i="2"/>
  <c r="H17" i="6"/>
  <c r="B489" i="2"/>
  <c r="Q571" i="2"/>
  <c r="I572" i="2"/>
  <c r="F572" i="2"/>
  <c r="H572" i="2"/>
  <c r="X571" i="2"/>
  <c r="B490" i="2"/>
  <c r="I573" i="2"/>
  <c r="H573" i="2"/>
  <c r="F573" i="2"/>
  <c r="B491" i="2"/>
  <c r="X572" i="2"/>
  <c r="Q572" i="2"/>
  <c r="Q573" i="2"/>
  <c r="H574" i="2"/>
  <c r="I574" i="2"/>
  <c r="F574" i="2"/>
  <c r="I575" i="2"/>
  <c r="F575" i="2"/>
  <c r="H575" i="2"/>
  <c r="X573" i="2"/>
  <c r="Q574" i="2"/>
  <c r="X574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F26" i="6"/>
  <c r="E24" i="6"/>
  <c r="F21" i="6"/>
  <c r="Q575" i="2"/>
  <c r="F576" i="2"/>
  <c r="H576" i="2"/>
  <c r="I576" i="2"/>
  <c r="F22" i="6"/>
  <c r="F25" i="6"/>
  <c r="E23" i="6"/>
  <c r="F24" i="6"/>
  <c r="G24" i="6"/>
  <c r="E21" i="6"/>
  <c r="G21" i="6"/>
  <c r="E26" i="6"/>
  <c r="G26" i="6"/>
  <c r="F23" i="6"/>
  <c r="E22" i="6"/>
  <c r="E25" i="6"/>
  <c r="G25" i="6"/>
  <c r="G22" i="6"/>
  <c r="G23" i="6"/>
  <c r="H577" i="2"/>
  <c r="F577" i="2"/>
  <c r="I577" i="2"/>
  <c r="X576" i="2"/>
  <c r="Q576" i="2"/>
  <c r="X575" i="2"/>
  <c r="I578" i="2"/>
  <c r="H578" i="2"/>
  <c r="F578" i="2"/>
  <c r="Q577" i="2"/>
  <c r="X577" i="2"/>
  <c r="H580" i="2"/>
  <c r="F580" i="2"/>
  <c r="I580" i="2"/>
  <c r="F581" i="2"/>
  <c r="Q578" i="2"/>
  <c r="X578" i="2"/>
  <c r="F579" i="2"/>
  <c r="I579" i="2"/>
  <c r="H579" i="2"/>
  <c r="Q580" i="2"/>
  <c r="X579" i="2"/>
  <c r="Q579" i="2"/>
  <c r="Q591" i="2"/>
  <c r="Q619" i="2"/>
  <c r="Q593" i="2"/>
  <c r="Q634" i="2"/>
  <c r="Q632" i="2"/>
  <c r="Q643" i="2"/>
  <c r="Q657" i="2"/>
  <c r="Q642" i="2"/>
  <c r="Q615" i="2"/>
  <c r="Q625" i="2"/>
  <c r="Q637" i="2"/>
  <c r="Q641" i="2"/>
  <c r="Q611" i="2"/>
  <c r="Q646" i="2"/>
  <c r="Q582" i="2"/>
  <c r="Q621" i="2"/>
  <c r="Q599" i="2"/>
  <c r="Q633" i="2"/>
  <c r="Q635" i="2"/>
  <c r="Q647" i="2"/>
  <c r="Q602" i="2"/>
  <c r="Q585" i="2"/>
  <c r="Q645" i="2"/>
  <c r="Q665" i="2"/>
  <c r="Q630" i="2"/>
  <c r="Q664" i="2"/>
  <c r="Q629" i="2"/>
  <c r="Q659" i="2"/>
  <c r="Q586" i="2"/>
  <c r="Q596" i="2"/>
  <c r="Q607" i="2"/>
  <c r="Q618" i="2"/>
  <c r="Q608" i="2"/>
  <c r="Q656" i="2"/>
  <c r="Q592" i="2"/>
  <c r="Q627" i="2"/>
  <c r="Q663" i="2"/>
  <c r="Q662" i="2"/>
  <c r="Q581" i="2"/>
  <c r="Q636" i="2"/>
  <c r="Q594" i="2"/>
  <c r="Q590" i="2"/>
  <c r="Q623" i="2"/>
  <c r="Q587" i="2"/>
  <c r="Q626" i="2"/>
  <c r="Q649" i="2"/>
  <c r="Q609" i="2"/>
  <c r="Q614" i="2"/>
  <c r="Q644" i="2"/>
  <c r="Q624" i="2"/>
  <c r="Q597" i="2"/>
  <c r="Q628" i="2"/>
  <c r="Q655" i="2"/>
  <c r="Q604" i="2"/>
  <c r="Q674" i="2"/>
  <c r="Q584" i="2"/>
  <c r="Q598" i="2"/>
  <c r="Q675" i="2"/>
  <c r="Q640" i="2"/>
  <c r="Q652" i="2"/>
  <c r="Q605" i="2"/>
  <c r="Q639" i="2"/>
  <c r="Q668" i="2"/>
  <c r="Q622" i="2"/>
  <c r="Q667" i="2"/>
  <c r="Q654" i="2"/>
  <c r="Q606" i="2"/>
  <c r="Q600" i="2"/>
  <c r="Q648" i="2"/>
  <c r="Q670" i="2"/>
  <c r="Q620" i="2"/>
  <c r="Q616" i="2"/>
  <c r="Q613" i="2"/>
  <c r="Q588" i="2"/>
  <c r="Q589" i="2"/>
  <c r="Q617" i="2"/>
  <c r="Q671" i="2"/>
  <c r="Q669" i="2"/>
  <c r="Q583" i="2"/>
  <c r="Q610" i="2"/>
  <c r="Q595" i="2"/>
  <c r="Q650" i="2"/>
  <c r="Q601" i="2"/>
  <c r="Q653" i="2"/>
  <c r="Q631" i="2"/>
  <c r="Q661" i="2"/>
  <c r="Q603" i="2"/>
  <c r="Q638" i="2"/>
  <c r="Q612" i="2"/>
  <c r="Q673" i="2"/>
  <c r="Q660" i="2"/>
  <c r="Q658" i="2"/>
  <c r="Q651" i="2"/>
  <c r="Q672" i="2"/>
  <c r="Q666" i="2"/>
  <c r="X596" i="2"/>
  <c r="X675" i="2"/>
  <c r="X649" i="2"/>
  <c r="X672" i="2"/>
  <c r="X665" i="2"/>
  <c r="X610" i="2"/>
  <c r="X645" i="2"/>
  <c r="X620" i="2"/>
  <c r="X592" i="2"/>
  <c r="X595" i="2"/>
  <c r="X609" i="2"/>
  <c r="X604" i="2"/>
  <c r="X589" i="2"/>
  <c r="X640" i="2"/>
  <c r="X587" i="2"/>
  <c r="X632" i="2"/>
  <c r="X583" i="2"/>
  <c r="X591" i="2"/>
  <c r="X597" i="2"/>
  <c r="X646" i="2"/>
  <c r="X586" i="2"/>
  <c r="X634" i="2"/>
  <c r="X588" i="2"/>
  <c r="X581" i="2"/>
  <c r="X617" i="2"/>
  <c r="X671" i="2"/>
  <c r="X612" i="2"/>
  <c r="X622" i="2"/>
  <c r="X662" i="2"/>
  <c r="X594" i="2"/>
  <c r="X633" i="2"/>
  <c r="X651" i="2"/>
  <c r="X652" i="2"/>
  <c r="X626" i="2"/>
  <c r="X625" i="2"/>
  <c r="X641" i="2"/>
  <c r="X657" i="2"/>
  <c r="X608" i="2"/>
  <c r="X643" i="2"/>
  <c r="X666" i="2"/>
  <c r="X638" i="2"/>
  <c r="X628" i="2"/>
  <c r="X648" i="2"/>
  <c r="X621" i="2"/>
  <c r="X670" i="2"/>
  <c r="X627" i="2"/>
  <c r="X599" i="2"/>
  <c r="X673" i="2"/>
  <c r="X658" i="2"/>
  <c r="X639" i="2"/>
  <c r="X629" i="2"/>
  <c r="X668" i="2"/>
  <c r="X619" i="2"/>
  <c r="X630" i="2"/>
  <c r="X606" i="2"/>
  <c r="X650" i="2"/>
  <c r="X653" i="2"/>
  <c r="X601" i="2"/>
  <c r="X669" i="2"/>
  <c r="X616" i="2"/>
  <c r="X593" i="2"/>
  <c r="X642" i="2"/>
  <c r="X611" i="2"/>
  <c r="X614" i="2"/>
  <c r="X605" i="2"/>
  <c r="X584" i="2"/>
  <c r="X582" i="2"/>
  <c r="X644" i="2"/>
  <c r="X659" i="2"/>
  <c r="X631" i="2"/>
  <c r="X600" i="2"/>
  <c r="X603" i="2"/>
  <c r="X656" i="2"/>
  <c r="X623" i="2"/>
  <c r="X590" i="2"/>
  <c r="X598" i="2"/>
  <c r="X663" i="2"/>
  <c r="X602" i="2"/>
  <c r="X615" i="2"/>
  <c r="X637" i="2"/>
  <c r="X624" i="2"/>
  <c r="X647" i="2"/>
  <c r="X660" i="2"/>
  <c r="X635" i="2"/>
  <c r="X674" i="2"/>
  <c r="X636" i="2"/>
  <c r="X607" i="2"/>
  <c r="X585" i="2"/>
  <c r="X654" i="2"/>
  <c r="X613" i="2"/>
  <c r="X618" i="2"/>
  <c r="X655" i="2"/>
  <c r="X661" i="2"/>
  <c r="X667" i="2"/>
  <c r="X664" i="2"/>
  <c r="X580" i="2"/>
  <c r="E693" i="2"/>
  <c r="F693" i="2"/>
  <c r="G693" i="2"/>
  <c r="H693" i="2"/>
  <c r="I693" i="2"/>
  <c r="O693" i="2"/>
  <c r="V693" i="2"/>
  <c r="F694" i="2"/>
  <c r="G694" i="2"/>
  <c r="O694" i="2"/>
  <c r="V694" i="2"/>
</calcChain>
</file>

<file path=xl/comments1.xml><?xml version="1.0" encoding="utf-8"?>
<comments xmlns="http://schemas.openxmlformats.org/spreadsheetml/2006/main">
  <authors>
    <author>Win7LabUser</author>
  </authors>
  <commentList>
    <comment ref="C24" authorId="0">
      <text>
        <r>
          <rPr>
            <b/>
            <sz val="9"/>
            <color indexed="81"/>
            <rFont val="Tahoma"/>
            <family val="2"/>
          </rPr>
          <t xml:space="preserve">NOTE: value posted here may differ than TD account due to dividend reinvestment.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Boomer</author>
  </authors>
  <commentList>
    <comment ref="D41" authorId="0">
      <text>
        <r>
          <rPr>
            <b/>
            <sz val="8"/>
            <color indexed="81"/>
            <rFont val="Tahoma"/>
            <family val="2"/>
          </rPr>
          <t>Notice:
$500.00 of cash withdrawn for Seidman I.P.O.'s scholarship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<sst xmlns="http://schemas.openxmlformats.org/spreadsheetml/2006/main" count="877" uniqueCount="330">
  <si>
    <t>S&amp;P 500 Index</t>
    <phoneticPr fontId="10" type="noConversion"/>
  </si>
  <si>
    <t>IPO Portfolio</t>
    <phoneticPr fontId="10" type="noConversion"/>
  </si>
  <si>
    <t>Financial</t>
  </si>
  <si>
    <t>Model Weight</t>
  </si>
  <si>
    <t>Totals</t>
  </si>
  <si>
    <t>Mkt Cap</t>
  </si>
  <si>
    <t>Large</t>
  </si>
  <si>
    <t>Seidman I.P.O. Transaction History (starting 5/12/03)</t>
  </si>
  <si>
    <t>Total Value</t>
  </si>
  <si>
    <t>Commission</t>
  </si>
  <si>
    <t>BO</t>
  </si>
  <si>
    <t>BC</t>
  </si>
  <si>
    <t>SO</t>
  </si>
  <si>
    <t>Buy to Close your position, "covering a short sell."</t>
  </si>
  <si>
    <t>Materials</t>
  </si>
  <si>
    <t>Industrials</t>
  </si>
  <si>
    <t>CSCO</t>
  </si>
  <si>
    <t>ERTS</t>
  </si>
  <si>
    <t>WAG</t>
  </si>
  <si>
    <t>S&amp;P 500</t>
  </si>
  <si>
    <t>MSFT</t>
  </si>
  <si>
    <t>Holdings</t>
  </si>
  <si>
    <t>I.P.O.</t>
  </si>
  <si>
    <t>Comments</t>
  </si>
  <si>
    <t xml:space="preserve">1 Week </t>
  </si>
  <si>
    <t>1 Year</t>
  </si>
  <si>
    <t>2 Year</t>
  </si>
  <si>
    <t>SC</t>
    <phoneticPr fontId="10" type="noConversion"/>
  </si>
  <si>
    <t>CEDC</t>
    <phoneticPr fontId="10" type="noConversion"/>
  </si>
  <si>
    <t>CPL</t>
    <phoneticPr fontId="10" type="noConversion"/>
  </si>
  <si>
    <t>BO</t>
    <phoneticPr fontId="10" type="noConversion"/>
  </si>
  <si>
    <t>PGX</t>
    <phoneticPr fontId="10" type="noConversion"/>
  </si>
  <si>
    <t>PGX</t>
    <phoneticPr fontId="10" type="noConversion"/>
  </si>
  <si>
    <r>
      <t xml:space="preserve">Portfolio Performance &amp; Details </t>
    </r>
    <r>
      <rPr>
        <sz val="10"/>
        <rFont val="Arial"/>
      </rPr>
      <t>©</t>
    </r>
  </si>
  <si>
    <t>CPL</t>
  </si>
  <si>
    <t>MNT</t>
  </si>
  <si>
    <t>Mkt Cap (Billions)</t>
  </si>
  <si>
    <t>PBW</t>
  </si>
  <si>
    <t>Energy</t>
  </si>
  <si>
    <t>Telecommunications</t>
  </si>
  <si>
    <t>MMM</t>
  </si>
  <si>
    <t>QCOM</t>
  </si>
  <si>
    <t>UPS</t>
  </si>
  <si>
    <t>OPCHX</t>
  </si>
  <si>
    <t>Change</t>
  </si>
  <si>
    <t>BRK.B</t>
  </si>
  <si>
    <t>Buy Call</t>
  </si>
  <si>
    <t>Cash</t>
  </si>
  <si>
    <t>F</t>
  </si>
  <si>
    <t>HD</t>
  </si>
  <si>
    <t>INTC</t>
  </si>
  <si>
    <t>LUV</t>
  </si>
  <si>
    <t>MDT</t>
  </si>
  <si>
    <t>NVDA</t>
  </si>
  <si>
    <t>PFE</t>
  </si>
  <si>
    <t>PTR</t>
  </si>
  <si>
    <t>WFC</t>
  </si>
  <si>
    <t>Shares</t>
  </si>
  <si>
    <t>Paid</t>
  </si>
  <si>
    <t>Value</t>
  </si>
  <si>
    <t>52 Wk High</t>
  </si>
  <si>
    <t>52 Wk Low</t>
  </si>
  <si>
    <t>Market Cap</t>
  </si>
  <si>
    <t>EPS</t>
  </si>
  <si>
    <t>P/E Ratio</t>
  </si>
  <si>
    <t># Shares Out</t>
  </si>
  <si>
    <t>Chart</t>
  </si>
  <si>
    <t>News</t>
  </si>
  <si>
    <t>S&amp;P Inception % Change</t>
  </si>
  <si>
    <t>Dow Close</t>
  </si>
  <si>
    <t>Dow Weekly % Change</t>
  </si>
  <si>
    <t>Dow Inception % Change</t>
  </si>
  <si>
    <t>Nasdaq Close</t>
  </si>
  <si>
    <t>CEDC</t>
  </si>
  <si>
    <t>$ Value</t>
  </si>
  <si>
    <t>% Weight</t>
  </si>
  <si>
    <t>Mid</t>
  </si>
  <si>
    <t>ITRI</t>
  </si>
  <si>
    <t>SYK</t>
  </si>
  <si>
    <t xml:space="preserve">3 Month </t>
  </si>
  <si>
    <t>6 Month</t>
  </si>
  <si>
    <t>Return Period</t>
  </si>
  <si>
    <t>Adjusted Portfolio Value</t>
  </si>
  <si>
    <t>SAHYX</t>
  </si>
  <si>
    <t>Sell to Open your position, "short selling" / options</t>
  </si>
  <si>
    <t>Sell Call</t>
  </si>
  <si>
    <t>Vote</t>
  </si>
  <si>
    <t>SC</t>
  </si>
  <si>
    <t>Types of Transactions</t>
  </si>
  <si>
    <t>Consumer Discretionary</t>
  </si>
  <si>
    <t>Consumer Staples</t>
  </si>
  <si>
    <t>Information Technology</t>
  </si>
  <si>
    <t>Sell to Close your position.</t>
  </si>
  <si>
    <t>Buy to Open your position.</t>
  </si>
  <si>
    <t>Week #</t>
  </si>
  <si>
    <t>C</t>
  </si>
  <si>
    <t>616.902.0398</t>
  </si>
  <si>
    <t>gnar99@hotmail.com</t>
  </si>
  <si>
    <t>HNP</t>
  </si>
  <si>
    <t xml:space="preserve">1 Month </t>
  </si>
  <si>
    <t>DRI</t>
  </si>
  <si>
    <t>HCP</t>
  </si>
  <si>
    <t>TTEK</t>
  </si>
  <si>
    <t>Bond</t>
  </si>
  <si>
    <t>Created by Kristopher "Boomer" Hoppough</t>
  </si>
  <si>
    <t>hoppougk@student.gvsu.edu</t>
  </si>
  <si>
    <t>GNTX</t>
  </si>
  <si>
    <t>WMMVY</t>
  </si>
  <si>
    <t>Date</t>
  </si>
  <si>
    <t>Ticker</t>
  </si>
  <si>
    <t>Price</t>
  </si>
  <si>
    <t>Initial Cost</t>
  </si>
  <si>
    <t>Portfolio Value</t>
  </si>
  <si>
    <t>Weekly +/-</t>
  </si>
  <si>
    <t>Inception +/-</t>
  </si>
  <si>
    <t>Inception % Change</t>
  </si>
  <si>
    <t>S&amp;P Close</t>
  </si>
  <si>
    <t>S&amp;P Weekly % Change</t>
  </si>
  <si>
    <t>Stock Quotes Provided by MSN Money</t>
  </si>
  <si>
    <t>Click here to visit MSN Money</t>
  </si>
  <si>
    <t>Last</t>
  </si>
  <si>
    <t>Previous Close</t>
  </si>
  <si>
    <t>High</t>
  </si>
  <si>
    <t>Low</t>
  </si>
  <si>
    <t>Volume</t>
  </si>
  <si>
    <t>% Change</t>
  </si>
  <si>
    <t>-</t>
  </si>
  <si>
    <t>Weekly % Change</t>
  </si>
  <si>
    <t>Healthcare</t>
  </si>
  <si>
    <t>Utilities</t>
  </si>
  <si>
    <t>Portfolio % Weight</t>
  </si>
  <si>
    <t>Sector</t>
  </si>
  <si>
    <t>Small</t>
  </si>
  <si>
    <t>Cap % Weight</t>
  </si>
  <si>
    <t>Cap $ Value</t>
  </si>
  <si>
    <t xml:space="preserve">Total </t>
  </si>
  <si>
    <t>Type</t>
  </si>
  <si>
    <t>SINA</t>
  </si>
  <si>
    <t>Lower Range</t>
  </si>
  <si>
    <t>Upper Range</t>
  </si>
  <si>
    <t>GICS Sector</t>
  </si>
  <si>
    <t>Average Range</t>
  </si>
  <si>
    <t>XRX</t>
  </si>
  <si>
    <t>VALE</t>
  </si>
  <si>
    <t>Date of Reference</t>
  </si>
  <si>
    <t>Total</t>
  </si>
  <si>
    <t>Misc</t>
  </si>
  <si>
    <t xml:space="preserve">BlackRock Global Allocation Inv C </t>
  </si>
  <si>
    <t>GLD</t>
  </si>
  <si>
    <t>MCLOX</t>
  </si>
  <si>
    <t>QUE</t>
  </si>
  <si>
    <t>% Total Gain</t>
  </si>
  <si>
    <t>$ Total Gain</t>
  </si>
  <si>
    <t>Holding</t>
  </si>
  <si>
    <t>PGX</t>
  </si>
  <si>
    <t>PE</t>
  </si>
  <si>
    <t>Value on 9/6/12</t>
  </si>
  <si>
    <t xml:space="preserve">Value 1 week ago </t>
  </si>
  <si>
    <t>Semester</t>
  </si>
  <si>
    <t>Weekly</t>
  </si>
  <si>
    <t>Today</t>
  </si>
  <si>
    <t>invest@mail.gvsu.edu</t>
  </si>
  <si>
    <t>http://gvsu.edu/invest</t>
  </si>
  <si>
    <t>Berkshire Hathaway</t>
  </si>
  <si>
    <t>1 Week</t>
  </si>
  <si>
    <t>Total Gain</t>
  </si>
  <si>
    <t>BlackRock Global</t>
  </si>
  <si>
    <t>Gentex</t>
  </si>
  <si>
    <t>Cisco</t>
  </si>
  <si>
    <t>Home Depot</t>
  </si>
  <si>
    <t>http://www.marketwatch.com/investing/index/spx/historical</t>
  </si>
  <si>
    <t>Current Price</t>
  </si>
  <si>
    <t>Date Sold</t>
  </si>
  <si>
    <t>Commission Fees</t>
  </si>
  <si>
    <t>Date Pitched</t>
  </si>
  <si>
    <t>EPS Excluding BRK.B</t>
  </si>
  <si>
    <t>% of Portfolio</t>
  </si>
  <si>
    <t>TSN</t>
  </si>
  <si>
    <t>Date Bought</t>
  </si>
  <si>
    <t>Buy Price</t>
  </si>
  <si>
    <t>Pitch Price</t>
  </si>
  <si>
    <t>Change*</t>
  </si>
  <si>
    <t>Outperformed S&amp;P 500?</t>
  </si>
  <si>
    <t>Use this for historical S&amp;P closes</t>
  </si>
  <si>
    <t>% IPO Outperforemed S&amp;P 500</t>
  </si>
  <si>
    <t>TPC</t>
  </si>
  <si>
    <t>CAT</t>
  </si>
  <si>
    <t>Cash Availailable</t>
  </si>
  <si>
    <t>Outperformed Dow?</t>
  </si>
  <si>
    <t>1 = Yes, 0 = No</t>
  </si>
  <si>
    <t>http://www.marketwatch.com/investing/index/djia/historical</t>
  </si>
  <si>
    <t>Use for historical Dow closes</t>
  </si>
  <si>
    <t>% IPO Outperforemed Dow</t>
  </si>
  <si>
    <t>Cost</t>
  </si>
  <si>
    <t>Daily Return</t>
  </si>
  <si>
    <t>NGVC</t>
  </si>
  <si>
    <t>Natural Grocers</t>
  </si>
  <si>
    <t>Name</t>
  </si>
  <si>
    <t>Sell Price</t>
  </si>
  <si>
    <t>Value 1 Week Ago</t>
  </si>
  <si>
    <t>Total Gain $</t>
  </si>
  <si>
    <t>Portfolio Weight</t>
  </si>
  <si>
    <t>Market Cap (Billions)</t>
  </si>
  <si>
    <t>% of Daily Portfolio Return</t>
  </si>
  <si>
    <t>School Year</t>
  </si>
  <si>
    <t>IPO</t>
  </si>
  <si>
    <t>Dow Jones</t>
  </si>
  <si>
    <t>Proposed Buys This Year</t>
  </si>
  <si>
    <t>YHOO</t>
  </si>
  <si>
    <t>Yahoo</t>
  </si>
  <si>
    <t>YRCW</t>
  </si>
  <si>
    <t>DAL</t>
  </si>
  <si>
    <t>Value on 4/25/13</t>
  </si>
  <si>
    <t>% of Weekly Portfolio Return</t>
  </si>
  <si>
    <t>CX</t>
  </si>
  <si>
    <t>IMMR</t>
  </si>
  <si>
    <t>Intel</t>
  </si>
  <si>
    <t xml:space="preserve">DJ Industrial Average </t>
  </si>
  <si>
    <t xml:space="preserve">NASDAQ Composite </t>
  </si>
  <si>
    <t xml:space="preserve">S&amp;P 500 Index </t>
  </si>
  <si>
    <t>Buy Price*</t>
  </si>
  <si>
    <t>Change**</t>
  </si>
  <si>
    <t>Sell Price*</t>
  </si>
  <si>
    <t>**Only incorporates change in price; Does not include commission</t>
  </si>
  <si>
    <t>* Weighted-average Buy/Sell Price</t>
  </si>
  <si>
    <t>2012-2013 School Year</t>
  </si>
  <si>
    <t>ULTA</t>
  </si>
  <si>
    <t>Bought This Year</t>
  </si>
  <si>
    <t>Proposed Sells This Year</t>
  </si>
  <si>
    <t>Sold This Year</t>
  </si>
  <si>
    <t>Proposed Buys This Year That Did Not Pass</t>
  </si>
  <si>
    <t>Proposed Sells This Year That Did Not Pass</t>
  </si>
  <si>
    <t>PRGO</t>
  </si>
  <si>
    <t>Dow Jones Index</t>
  </si>
  <si>
    <t>IPO Return since 5/02/03</t>
  </si>
  <si>
    <t>Total IPO Portfolio Value</t>
  </si>
  <si>
    <t>S&amp;P 500 since 5/02/03</t>
  </si>
  <si>
    <t>% of S&amp;P 500 (by market capitalization %)</t>
  </si>
  <si>
    <t>Since 4/25/13</t>
  </si>
  <si>
    <t>2013-2014 School Year</t>
  </si>
  <si>
    <t>Since 9/6/12</t>
  </si>
  <si>
    <t>Summer 2013</t>
  </si>
  <si>
    <t>% of Port</t>
  </si>
  <si>
    <t>AAPL</t>
  </si>
  <si>
    <t>Option</t>
  </si>
  <si>
    <t>!Cash</t>
  </si>
  <si>
    <t>2013 Fall Semester Portfolio Performance</t>
  </si>
  <si>
    <t xml:space="preserve">BERKSHIRE HATHAWAY CLASS B </t>
  </si>
  <si>
    <t xml:space="preserve">CEMEX S.A.B. DE C.V. </t>
  </si>
  <si>
    <t xml:space="preserve">CISCO SYSTEMS INC </t>
  </si>
  <si>
    <t xml:space="preserve">DELTA AIR LINES Inc </t>
  </si>
  <si>
    <t xml:space="preserve">GENTEX CORP </t>
  </si>
  <si>
    <t xml:space="preserve">HOME DEPOT Inc </t>
  </si>
  <si>
    <t xml:space="preserve">IMMERSION CORP </t>
  </si>
  <si>
    <t xml:space="preserve">INTEL CORP </t>
  </si>
  <si>
    <t xml:space="preserve">MEDTRONIC Inc </t>
  </si>
  <si>
    <t xml:space="preserve">NATURAL GROCERS BY VITAMIN COTTAGE INC </t>
  </si>
  <si>
    <t xml:space="preserve">PERRIGO COMPANY PLC (IRELAND) </t>
  </si>
  <si>
    <t xml:space="preserve">TUTOR PERINI CORPORATION </t>
  </si>
  <si>
    <t xml:space="preserve">TYSON FOODS Inc </t>
  </si>
  <si>
    <t xml:space="preserve">WELLS FARGO &amp; CO. </t>
  </si>
  <si>
    <t xml:space="preserve">YAHOO INC </t>
  </si>
  <si>
    <t>RRC</t>
  </si>
  <si>
    <t>AAPL $515 Call</t>
  </si>
  <si>
    <t xml:space="preserve">RANGE RESOURCES CORP </t>
  </si>
  <si>
    <t xml:space="preserve">PHILLIPS 66 </t>
  </si>
  <si>
    <t>IXIC</t>
  </si>
  <si>
    <t>GSPC</t>
  </si>
  <si>
    <t>DJI</t>
  </si>
  <si>
    <t>PSX</t>
  </si>
  <si>
    <t>Phillips 66</t>
  </si>
  <si>
    <t>TLT</t>
  </si>
  <si>
    <t>cash</t>
  </si>
  <si>
    <t>Ambarella</t>
  </si>
  <si>
    <t>AMBA</t>
  </si>
  <si>
    <t>Disney</t>
  </si>
  <si>
    <t>DIS</t>
  </si>
  <si>
    <t>US Silica</t>
  </si>
  <si>
    <t>SLCA</t>
  </si>
  <si>
    <t>% of portfolio in cash</t>
  </si>
  <si>
    <t>% of portfolio invested</t>
  </si>
  <si>
    <t>IPO &gt; SPY (bps):</t>
  </si>
  <si>
    <t>Positions opened this year</t>
  </si>
  <si>
    <t>20+Yr Treasury ETF</t>
  </si>
  <si>
    <t>Count # times outperfomed S&amp;P</t>
  </si>
  <si>
    <t>Count # times outperfomed DJIA</t>
  </si>
  <si>
    <t>GWPH</t>
  </si>
  <si>
    <t>GW Pharmaceuticals</t>
  </si>
  <si>
    <t>NFLX</t>
  </si>
  <si>
    <t>Netflix</t>
  </si>
  <si>
    <t>Walgreens</t>
  </si>
  <si>
    <t>WBA</t>
  </si>
  <si>
    <t>Short S&amp;P 500</t>
  </si>
  <si>
    <t>SH</t>
  </si>
  <si>
    <t>Novocure</t>
  </si>
  <si>
    <t>NVCR</t>
  </si>
  <si>
    <t>Tutor Perini</t>
  </si>
  <si>
    <t>Perrigo</t>
  </si>
  <si>
    <t>MCO</t>
  </si>
  <si>
    <t>AMZN</t>
  </si>
  <si>
    <t>CHKP</t>
  </si>
  <si>
    <t>SCHX</t>
  </si>
  <si>
    <t>CCL</t>
  </si>
  <si>
    <t>Delta Airlines</t>
  </si>
  <si>
    <t>Checkpoint Software</t>
  </si>
  <si>
    <t>Schwab US Large Cap</t>
  </si>
  <si>
    <t>Technology</t>
  </si>
  <si>
    <t>Energy and Industrials</t>
  </si>
  <si>
    <t>Since 09/16/16</t>
  </si>
  <si>
    <t>S&amp;P</t>
  </si>
  <si>
    <t>IPO %</t>
  </si>
  <si>
    <t>S&amp;P %</t>
  </si>
  <si>
    <t>N/A</t>
  </si>
  <si>
    <t>Aqua America</t>
  </si>
  <si>
    <t>WTR</t>
  </si>
  <si>
    <t>WHR</t>
  </si>
  <si>
    <t>BAC</t>
  </si>
  <si>
    <t>V</t>
  </si>
  <si>
    <t>HBI</t>
  </si>
  <si>
    <t>Whirlpool Corporation</t>
  </si>
  <si>
    <t>Bank of America</t>
  </si>
  <si>
    <t xml:space="preserve">Visa </t>
  </si>
  <si>
    <t>HanesBrands Inc</t>
  </si>
  <si>
    <t>2017-2018 School Year</t>
  </si>
  <si>
    <t>Portfolio Sector Weighting</t>
  </si>
  <si>
    <t>Energy, Industrials, Utilities</t>
  </si>
  <si>
    <t>Weight</t>
  </si>
  <si>
    <t>Capital Appreciation - From inception</t>
  </si>
  <si>
    <t>Capital Appreciation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</si>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</sst>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"/>
    <numFmt numFmtId="167" formatCode="_(* #,##0_);_(* \(#,##0\);_(* &quot;-&quot;??_);_(@_)"/>
    <numFmt numFmtId="168" formatCode="#,##0.000"/>
    <numFmt numFmtId="169" formatCode="&quot;$&quot;#,##0.00"/>
    <numFmt numFmtId="170" formatCode="&quot; &quot;0.00%&quot; of Portfolio&quot;"/>
    <numFmt numFmtId="171" formatCode="m/d/yy;@"/>
    <numFmt numFmtId="172" formatCode="0.0"/>
    <numFmt numFmtId="173" formatCode="0.000"/>
    <numFmt numFmtId="174" formatCode="#,##0.00_);\(#,##0.00\);\ \-\ \-\ "/>
    <numFmt numFmtId="175" formatCode="#,##0.0%_);\(#,##0.0%\);\ \-\ \-\ "/>
    <numFmt numFmtId="176" formatCode="#,##0.0%_);\(#,##0.0%\)"/>
    <numFmt numFmtId="177" formatCode="#,##0.00%_);\(#,##0.00%\);\ \-\ \-\ "/>
  </numFmts>
  <fonts count="6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u/>
      <sz val="10"/>
      <name val="Verdana"/>
      <family val="2"/>
    </font>
    <font>
      <i/>
      <sz val="10"/>
      <name val="Verdana"/>
      <family val="2"/>
    </font>
    <font>
      <i/>
      <u/>
      <sz val="10"/>
      <color indexed="12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u/>
      <sz val="10"/>
      <name val="Arial"/>
      <family val="2"/>
    </font>
    <font>
      <i/>
      <u/>
      <sz val="10"/>
      <color indexed="12"/>
      <name val="Arial"/>
      <family val="2"/>
    </font>
    <font>
      <b/>
      <i/>
      <sz val="10"/>
      <color indexed="16"/>
      <name val="Arial"/>
      <family val="2"/>
    </font>
    <font>
      <i/>
      <u/>
      <sz val="10"/>
      <name val="Arial"/>
      <family val="2"/>
    </font>
    <font>
      <u/>
      <sz val="10"/>
      <color indexed="12"/>
      <name val="Arial"/>
      <family val="2"/>
    </font>
    <font>
      <b/>
      <i/>
      <u/>
      <sz val="7"/>
      <name val="Verdana"/>
      <family val="2"/>
    </font>
    <font>
      <b/>
      <i/>
      <sz val="10"/>
      <color indexed="16"/>
      <name val="Verdana"/>
      <family val="2"/>
    </font>
    <font>
      <b/>
      <u/>
      <sz val="11"/>
      <name val="Times New Roman"/>
      <family val="1"/>
    </font>
    <font>
      <sz val="10"/>
      <name val="Tahoma"/>
      <family val="2"/>
    </font>
    <font>
      <b/>
      <sz val="8"/>
      <name val="Arial"/>
      <family val="2"/>
    </font>
    <font>
      <sz val="10"/>
      <name val="MS Sans Serif"/>
      <family val="2"/>
    </font>
    <font>
      <i/>
      <sz val="10"/>
      <name val="Tahoma"/>
      <family val="2"/>
    </font>
    <font>
      <i/>
      <sz val="10"/>
      <color indexed="12"/>
      <name val="Tahoma"/>
      <family val="2"/>
    </font>
    <font>
      <b/>
      <i/>
      <sz val="10"/>
      <name val="Tahoma"/>
      <family val="2"/>
    </font>
    <font>
      <b/>
      <i/>
      <sz val="10"/>
      <color indexed="12"/>
      <name val="Tahoma"/>
      <family val="2"/>
    </font>
    <font>
      <b/>
      <sz val="10"/>
      <name val="Tahoma"/>
      <family val="2"/>
    </font>
    <font>
      <b/>
      <i/>
      <u/>
      <sz val="10"/>
      <name val="Tahoma"/>
      <family val="2"/>
    </font>
    <font>
      <b/>
      <i/>
      <sz val="10"/>
      <color indexed="17"/>
      <name val="Tahoma"/>
      <family val="2"/>
    </font>
    <font>
      <b/>
      <i/>
      <sz val="10"/>
      <color indexed="10"/>
      <name val="Tahoma"/>
      <family val="2"/>
    </font>
    <font>
      <b/>
      <i/>
      <sz val="10"/>
      <color indexed="30"/>
      <name val="Tahoma"/>
      <family val="2"/>
    </font>
    <font>
      <b/>
      <sz val="18"/>
      <color rgb="FFFFFFFF"/>
      <name val="Times Roman"/>
    </font>
    <font>
      <b/>
      <u/>
      <sz val="22"/>
      <name val="Arial"/>
      <family val="2"/>
    </font>
    <font>
      <u/>
      <sz val="10"/>
      <color theme="11"/>
      <name val="Arial"/>
      <family val="2"/>
    </font>
    <font>
      <sz val="12"/>
      <name val="Cambria"/>
      <family val="1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0"/>
      <name val="Verdana"/>
      <family val="2"/>
    </font>
    <font>
      <b/>
      <sz val="14"/>
      <name val="Tahoma"/>
      <family val="2"/>
    </font>
    <font>
      <sz val="10.5"/>
      <name val="Tahoma"/>
      <family val="2"/>
    </font>
    <font>
      <b/>
      <sz val="11.5"/>
      <name val="Tahoma"/>
      <family val="2"/>
    </font>
    <font>
      <b/>
      <sz val="12"/>
      <name val="Tahoma"/>
      <family val="2"/>
    </font>
    <font>
      <b/>
      <sz val="10.5"/>
      <name val="Tahoma"/>
      <family val="2"/>
    </font>
    <font>
      <u/>
      <sz val="10"/>
      <color indexed="12"/>
      <name val="Tahom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8.5"/>
      <name val="Tahoma"/>
      <family val="2"/>
    </font>
    <font>
      <sz val="10"/>
      <color rgb="FF333333"/>
      <name val="Segoe UI"/>
      <family val="2"/>
    </font>
    <font>
      <b/>
      <sz val="10"/>
      <color rgb="FF333333"/>
      <name val="Segoe UI"/>
      <family val="2"/>
    </font>
    <font>
      <b/>
      <i/>
      <sz val="9"/>
      <name val="Tahoma"/>
      <family val="2"/>
    </font>
    <font>
      <sz val="9"/>
      <name val="Tahoma"/>
      <family val="2"/>
    </font>
    <font>
      <b/>
      <sz val="20"/>
      <name val="Helvetica"/>
      <family val="2"/>
    </font>
    <font>
      <sz val="10"/>
      <color rgb="FF0000FF"/>
      <name val="Tahoma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8"/>
      <name val="Arial"/>
      <family val="2"/>
    </font>
    <font>
      <u val="singleAccounting"/>
      <sz val="10"/>
      <name val="Tahoma"/>
      <family val="2"/>
    </font>
    <font>
      <sz val="10"/>
      <color theme="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9">
    <xf numFmtId="0" fontId="0" fillId="0" borderId="0" xfId="0"/>
    <xf numFmtId="0" fontId="12" fillId="2" borderId="0" xfId="0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1" fillId="0" borderId="4" xfId="0" applyFont="1" applyFill="1" applyBorder="1" applyAlignment="1">
      <alignment shrinkToFit="1"/>
    </xf>
    <xf numFmtId="0" fontId="12" fillId="0" borderId="6" xfId="0" applyFont="1" applyFill="1" applyBorder="1"/>
    <xf numFmtId="0" fontId="12" fillId="0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1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/>
    <xf numFmtId="0" fontId="11" fillId="2" borderId="4" xfId="0" applyFont="1" applyFill="1" applyBorder="1" applyAlignment="1">
      <alignment shrinkToFit="1"/>
    </xf>
    <xf numFmtId="0" fontId="12" fillId="2" borderId="7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0" fillId="0" borderId="9" xfId="0" applyBorder="1"/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9" fontId="0" fillId="0" borderId="0" xfId="0" applyNumberFormat="1" applyBorder="1" applyAlignment="1">
      <alignment horizontal="center" shrinkToFit="1"/>
    </xf>
    <xf numFmtId="0" fontId="0" fillId="0" borderId="5" xfId="0" applyBorder="1" applyAlignment="1">
      <alignment horizontal="center"/>
    </xf>
    <xf numFmtId="9" fontId="0" fillId="0" borderId="0" xfId="4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27" fillId="0" borderId="12" xfId="0" applyFont="1" applyFill="1" applyBorder="1"/>
    <xf numFmtId="0" fontId="28" fillId="0" borderId="12" xfId="0" applyFont="1" applyFill="1" applyBorder="1"/>
    <xf numFmtId="0" fontId="27" fillId="0" borderId="0" xfId="0" applyFont="1" applyFill="1" applyBorder="1"/>
    <xf numFmtId="44" fontId="31" fillId="3" borderId="12" xfId="0" applyNumberFormat="1" applyFont="1" applyFill="1" applyBorder="1" applyAlignment="1">
      <alignment horizontal="center"/>
    </xf>
    <xf numFmtId="44" fontId="31" fillId="3" borderId="12" xfId="0" applyNumberFormat="1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/>
    <xf numFmtId="0" fontId="13" fillId="2" borderId="0" xfId="3" applyFont="1" applyFill="1" applyBorder="1" applyAlignment="1" applyProtection="1">
      <alignment horizontal="left"/>
    </xf>
    <xf numFmtId="0" fontId="12" fillId="2" borderId="0" xfId="0" applyFont="1" applyFill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shrinkToFit="1"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27" fillId="2" borderId="0" xfId="0" applyFont="1" applyFill="1" applyBorder="1"/>
    <xf numFmtId="0" fontId="27" fillId="2" borderId="0" xfId="0" applyFont="1" applyFill="1"/>
    <xf numFmtId="2" fontId="6" fillId="2" borderId="0" xfId="0" applyNumberFormat="1" applyFont="1" applyFill="1" applyBorder="1" applyAlignment="1">
      <alignment horizontal="center"/>
    </xf>
    <xf numFmtId="10" fontId="6" fillId="2" borderId="0" xfId="4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left" shrinkToFit="1"/>
    </xf>
    <xf numFmtId="0" fontId="27" fillId="2" borderId="0" xfId="0" applyFont="1" applyFill="1" applyBorder="1" applyAlignment="1">
      <alignment shrinkToFit="1"/>
    </xf>
    <xf numFmtId="2" fontId="18" fillId="2" borderId="0" xfId="0" applyNumberFormat="1" applyFont="1" applyFill="1" applyBorder="1" applyAlignment="1">
      <alignment horizontal="center"/>
    </xf>
    <xf numFmtId="10" fontId="18" fillId="2" borderId="0" xfId="4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18" fillId="2" borderId="0" xfId="0" applyFont="1" applyFill="1"/>
    <xf numFmtId="0" fontId="22" fillId="2" borderId="0" xfId="0" applyFont="1" applyFill="1" applyBorder="1"/>
    <xf numFmtId="0" fontId="6" fillId="2" borderId="0" xfId="0" applyFont="1" applyFill="1" applyAlignment="1">
      <alignment horizontal="center"/>
    </xf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43" fontId="24" fillId="2" borderId="2" xfId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44" fontId="24" fillId="2" borderId="2" xfId="2" applyNumberFormat="1" applyFont="1" applyFill="1" applyBorder="1" applyAlignment="1">
      <alignment horizontal="center"/>
    </xf>
    <xf numFmtId="43" fontId="24" fillId="2" borderId="2" xfId="1" applyNumberFormat="1" applyFont="1" applyFill="1" applyBorder="1" applyAlignment="1">
      <alignment horizontal="center"/>
    </xf>
    <xf numFmtId="44" fontId="24" fillId="2" borderId="2" xfId="0" applyNumberFormat="1" applyFont="1" applyFill="1" applyBorder="1" applyAlignment="1">
      <alignment horizontal="left"/>
    </xf>
    <xf numFmtId="10" fontId="31" fillId="2" borderId="2" xfId="4" applyNumberFormat="1" applyFont="1" applyFill="1" applyBorder="1" applyAlignment="1">
      <alignment horizontal="right"/>
    </xf>
    <xf numFmtId="8" fontId="31" fillId="2" borderId="2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center" shrinkToFit="1"/>
    </xf>
    <xf numFmtId="165" fontId="27" fillId="2" borderId="2" xfId="4" applyNumberFormat="1" applyFont="1" applyFill="1" applyBorder="1" applyAlignment="1">
      <alignment horizontal="center"/>
    </xf>
    <xf numFmtId="40" fontId="27" fillId="2" borderId="2" xfId="0" applyNumberFormat="1" applyFont="1" applyFill="1" applyBorder="1" applyAlignment="1">
      <alignment horizontal="left"/>
    </xf>
    <xf numFmtId="8" fontId="30" fillId="2" borderId="2" xfId="0" applyNumberFormat="1" applyFont="1" applyFill="1" applyBorder="1" applyAlignment="1">
      <alignment horizontal="lef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17" fillId="2" borderId="0" xfId="3" applyFont="1" applyFill="1" applyBorder="1" applyAlignment="1" applyProtection="1"/>
    <xf numFmtId="0" fontId="17" fillId="2" borderId="4" xfId="3" applyFont="1" applyFill="1" applyBorder="1" applyAlignment="1" applyProtection="1"/>
    <xf numFmtId="0" fontId="17" fillId="2" borderId="6" xfId="3" applyFont="1" applyFill="1" applyBorder="1" applyAlignment="1" applyProtection="1"/>
    <xf numFmtId="0" fontId="6" fillId="2" borderId="13" xfId="0" applyFont="1" applyFill="1" applyBorder="1" applyAlignment="1">
      <alignment horizontal="center"/>
    </xf>
    <xf numFmtId="0" fontId="4" fillId="2" borderId="0" xfId="0" applyFont="1" applyFill="1"/>
    <xf numFmtId="0" fontId="20" fillId="2" borderId="0" xfId="3" applyFont="1" applyFill="1" applyAlignment="1" applyProtection="1"/>
    <xf numFmtId="10" fontId="31" fillId="0" borderId="0" xfId="4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shrinkToFit="1"/>
    </xf>
    <xf numFmtId="0" fontId="26" fillId="0" borderId="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65" fontId="27" fillId="0" borderId="15" xfId="4" applyNumberFormat="1" applyFont="1" applyFill="1" applyBorder="1" applyAlignment="1">
      <alignment horizontal="center"/>
    </xf>
    <xf numFmtId="8" fontId="29" fillId="0" borderId="4" xfId="0" applyNumberFormat="1" applyFont="1" applyFill="1" applyBorder="1" applyAlignment="1">
      <alignment horizontal="left"/>
    </xf>
    <xf numFmtId="8" fontId="29" fillId="0" borderId="5" xfId="0" applyNumberFormat="1" applyFont="1" applyFill="1" applyBorder="1" applyAlignment="1">
      <alignment horizontal="left"/>
    </xf>
    <xf numFmtId="8" fontId="24" fillId="0" borderId="5" xfId="0" applyNumberFormat="1" applyFont="1" applyFill="1" applyBorder="1" applyAlignment="1">
      <alignment horizontal="center"/>
    </xf>
    <xf numFmtId="40" fontId="24" fillId="0" borderId="4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shrinkToFit="1"/>
    </xf>
    <xf numFmtId="0" fontId="23" fillId="0" borderId="3" xfId="0" applyFont="1" applyFill="1" applyBorder="1" applyAlignment="1">
      <alignment horizontal="center" shrinkToFit="1"/>
    </xf>
    <xf numFmtId="0" fontId="23" fillId="0" borderId="14" xfId="0" applyFont="1" applyFill="1" applyBorder="1" applyAlignment="1">
      <alignment horizontal="center" shrinkToFit="1"/>
    </xf>
    <xf numFmtId="0" fontId="12" fillId="0" borderId="16" xfId="0" applyFont="1" applyFill="1" applyBorder="1"/>
    <xf numFmtId="0" fontId="27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9" fontId="27" fillId="0" borderId="12" xfId="4" applyNumberFormat="1" applyFont="1" applyFill="1" applyBorder="1" applyAlignment="1">
      <alignment horizontal="center"/>
    </xf>
    <xf numFmtId="44" fontId="31" fillId="4" borderId="12" xfId="0" applyNumberFormat="1" applyFont="1" applyFill="1" applyBorder="1"/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13" xfId="0" applyFont="1" applyFill="1" applyBorder="1"/>
    <xf numFmtId="0" fontId="12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24" fillId="0" borderId="4" xfId="0" applyFont="1" applyFill="1" applyBorder="1" applyAlignment="1">
      <alignment shrinkToFit="1"/>
    </xf>
    <xf numFmtId="164" fontId="27" fillId="0" borderId="0" xfId="4" applyNumberFormat="1" applyFont="1" applyFill="1" applyBorder="1" applyAlignment="1">
      <alignment horizontal="center"/>
    </xf>
    <xf numFmtId="0" fontId="24" fillId="2" borderId="4" xfId="0" applyFont="1" applyFill="1" applyBorder="1" applyAlignment="1">
      <alignment shrinkToFit="1"/>
    </xf>
    <xf numFmtId="164" fontId="27" fillId="2" borderId="0" xfId="4" applyNumberFormat="1" applyFont="1" applyFill="1" applyBorder="1" applyAlignment="1">
      <alignment horizontal="center"/>
    </xf>
    <xf numFmtId="0" fontId="29" fillId="0" borderId="17" xfId="0" applyFont="1" applyFill="1" applyBorder="1"/>
    <xf numFmtId="167" fontId="29" fillId="0" borderId="8" xfId="1" applyNumberFormat="1" applyFont="1" applyFill="1" applyBorder="1" applyAlignment="1">
      <alignment horizontal="center"/>
    </xf>
    <xf numFmtId="9" fontId="29" fillId="0" borderId="8" xfId="4" applyNumberFormat="1" applyFont="1" applyFill="1" applyBorder="1" applyAlignment="1">
      <alignment horizontal="center"/>
    </xf>
    <xf numFmtId="0" fontId="29" fillId="0" borderId="8" xfId="0" applyFont="1" applyFill="1" applyBorder="1"/>
    <xf numFmtId="1" fontId="29" fillId="0" borderId="9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0" fontId="27" fillId="2" borderId="0" xfId="0" applyNumberFormat="1" applyFont="1" applyFill="1" applyBorder="1"/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 shrinkToFit="1"/>
    </xf>
    <xf numFmtId="0" fontId="12" fillId="2" borderId="13" xfId="0" applyFont="1" applyFill="1" applyBorder="1"/>
    <xf numFmtId="0" fontId="12" fillId="2" borderId="6" xfId="0" applyFont="1" applyFill="1" applyBorder="1"/>
    <xf numFmtId="8" fontId="33" fillId="0" borderId="5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4" fontId="0" fillId="5" borderId="4" xfId="0" applyNumberForma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1" fillId="5" borderId="5" xfId="0" applyFont="1" applyFill="1" applyBorder="1"/>
    <xf numFmtId="8" fontId="34" fillId="0" borderId="5" xfId="0" applyNumberFormat="1" applyFont="1" applyFill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27" fillId="0" borderId="4" xfId="0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/>
    </xf>
    <xf numFmtId="8" fontId="35" fillId="0" borderId="5" xfId="0" applyNumberFormat="1" applyFont="1" applyFill="1" applyBorder="1" applyAlignment="1">
      <alignment horizontal="left"/>
    </xf>
    <xf numFmtId="0" fontId="1" fillId="0" borderId="5" xfId="0" applyFont="1" applyBorder="1"/>
    <xf numFmtId="8" fontId="29" fillId="0" borderId="4" xfId="0" applyNumberFormat="1" applyFont="1" applyFill="1" applyBorder="1" applyAlignment="1">
      <alignment horizontal="center"/>
    </xf>
    <xf numFmtId="2" fontId="31" fillId="0" borderId="12" xfId="0" applyNumberFormat="1" applyFont="1" applyFill="1" applyBorder="1" applyAlignment="1">
      <alignment horizontal="center"/>
    </xf>
    <xf numFmtId="2" fontId="31" fillId="0" borderId="20" xfId="0" applyNumberFormat="1" applyFont="1" applyFill="1" applyBorder="1" applyAlignment="1">
      <alignment horizontal="center"/>
    </xf>
    <xf numFmtId="44" fontId="27" fillId="2" borderId="0" xfId="0" applyNumberFormat="1" applyFont="1" applyFill="1"/>
    <xf numFmtId="4" fontId="6" fillId="2" borderId="0" xfId="0" applyNumberFormat="1" applyFont="1" applyFill="1" applyBorder="1"/>
    <xf numFmtId="44" fontId="6" fillId="2" borderId="0" xfId="0" applyNumberFormat="1" applyFont="1" applyFill="1"/>
    <xf numFmtId="44" fontId="29" fillId="2" borderId="0" xfId="0" applyNumberFormat="1" applyFont="1" applyFill="1"/>
    <xf numFmtId="43" fontId="6" fillId="2" borderId="0" xfId="0" applyNumberFormat="1" applyFont="1" applyFill="1" applyBorder="1"/>
    <xf numFmtId="0" fontId="25" fillId="6" borderId="23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29" fillId="0" borderId="17" xfId="0" applyFont="1" applyFill="1" applyBorder="1" applyAlignment="1">
      <alignment horizontal="center" shrinkToFit="1"/>
    </xf>
    <xf numFmtId="0" fontId="29" fillId="0" borderId="8" xfId="0" applyFont="1" applyFill="1" applyBorder="1" applyAlignment="1">
      <alignment horizontal="center" shrinkToFit="1"/>
    </xf>
    <xf numFmtId="0" fontId="29" fillId="0" borderId="8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14" fontId="12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8" borderId="0" xfId="0" applyFill="1" applyBorder="1"/>
    <xf numFmtId="0" fontId="39" fillId="8" borderId="0" xfId="0" applyFont="1" applyFill="1" applyBorder="1" applyAlignment="1">
      <alignment vertical="center" wrapText="1"/>
    </xf>
    <xf numFmtId="10" fontId="0" fillId="8" borderId="0" xfId="0" applyNumberFormat="1" applyFill="1" applyBorder="1"/>
    <xf numFmtId="0" fontId="39" fillId="0" borderId="29" xfId="0" applyFont="1" applyFill="1" applyBorder="1" applyAlignment="1">
      <alignment vertical="center" wrapText="1"/>
    </xf>
    <xf numFmtId="10" fontId="0" fillId="0" borderId="29" xfId="0" applyNumberFormat="1" applyFill="1" applyBorder="1"/>
    <xf numFmtId="0" fontId="41" fillId="0" borderId="4" xfId="0" applyFont="1" applyBorder="1"/>
    <xf numFmtId="0" fontId="4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41" fillId="0" borderId="6" xfId="0" applyFont="1" applyBorder="1"/>
    <xf numFmtId="14" fontId="6" fillId="2" borderId="0" xfId="0" applyNumberFormat="1" applyFont="1" applyFill="1" applyBorder="1" applyAlignment="1">
      <alignment horizontal="center" shrinkToFit="1"/>
    </xf>
    <xf numFmtId="14" fontId="6" fillId="2" borderId="0" xfId="0" applyNumberFormat="1" applyFont="1" applyFill="1" applyBorder="1" applyAlignment="1">
      <alignment horizontal="right" shrinkToFit="1"/>
    </xf>
    <xf numFmtId="0" fontId="19" fillId="2" borderId="0" xfId="0" applyFont="1" applyFill="1" applyBorder="1" applyAlignment="1">
      <alignment horizontal="center"/>
    </xf>
    <xf numFmtId="0" fontId="17" fillId="2" borderId="7" xfId="3" applyFont="1" applyFill="1" applyBorder="1" applyAlignment="1" applyProtection="1"/>
    <xf numFmtId="0" fontId="6" fillId="2" borderId="4" xfId="0" applyFont="1" applyFill="1" applyBorder="1" applyAlignment="1">
      <alignment horizontal="center"/>
    </xf>
    <xf numFmtId="0" fontId="0" fillId="0" borderId="7" xfId="0" applyFont="1" applyBorder="1"/>
    <xf numFmtId="0" fontId="0" fillId="0" borderId="13" xfId="0" applyBorder="1"/>
    <xf numFmtId="0" fontId="0" fillId="0" borderId="30" xfId="0" applyBorder="1"/>
    <xf numFmtId="0" fontId="12" fillId="2" borderId="2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43" fillId="0" borderId="16" xfId="0" applyFont="1" applyFill="1" applyBorder="1"/>
    <xf numFmtId="0" fontId="6" fillId="2" borderId="0" xfId="0" applyFont="1" applyFill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1" fillId="6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 wrapText="1"/>
    </xf>
    <xf numFmtId="0" fontId="1" fillId="6" borderId="22" xfId="0" applyFont="1" applyFill="1" applyBorder="1" applyAlignment="1">
      <alignment horizontal="center" wrapText="1"/>
    </xf>
    <xf numFmtId="0" fontId="1" fillId="0" borderId="0" xfId="0" applyFont="1"/>
    <xf numFmtId="0" fontId="24" fillId="0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right"/>
    </xf>
    <xf numFmtId="44" fontId="24" fillId="0" borderId="0" xfId="2" applyNumberFormat="1" applyFont="1" applyFill="1" applyBorder="1" applyAlignment="1">
      <alignment horizontal="right"/>
    </xf>
    <xf numFmtId="43" fontId="24" fillId="0" borderId="0" xfId="1" applyNumberFormat="1" applyFont="1" applyFill="1" applyBorder="1" applyAlignment="1">
      <alignment horizontal="right"/>
    </xf>
    <xf numFmtId="44" fontId="24" fillId="0" borderId="0" xfId="0" applyNumberFormat="1" applyFont="1" applyFill="1" applyBorder="1" applyAlignment="1">
      <alignment horizontal="right"/>
    </xf>
    <xf numFmtId="10" fontId="27" fillId="0" borderId="0" xfId="4" applyNumberFormat="1" applyFont="1" applyFill="1" applyBorder="1" applyAlignment="1">
      <alignment horizontal="right"/>
    </xf>
    <xf numFmtId="0" fontId="27" fillId="2" borderId="15" xfId="0" applyFont="1" applyFill="1" applyBorder="1"/>
    <xf numFmtId="0" fontId="27" fillId="2" borderId="15" xfId="0" applyFont="1" applyFill="1" applyBorder="1" applyAlignment="1">
      <alignment shrinkToFit="1"/>
    </xf>
    <xf numFmtId="1" fontId="24" fillId="0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center" shrinkToFit="1"/>
    </xf>
    <xf numFmtId="14" fontId="6" fillId="2" borderId="0" xfId="0" applyNumberFormat="1" applyFont="1" applyFill="1" applyBorder="1" applyAlignment="1">
      <alignment horizontal="right" shrinkToFit="1"/>
    </xf>
    <xf numFmtId="0" fontId="23" fillId="0" borderId="3" xfId="0" applyFont="1" applyFill="1" applyBorder="1" applyAlignment="1">
      <alignment horizontal="center" shrinkToFit="1"/>
    </xf>
    <xf numFmtId="0" fontId="19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right"/>
    </xf>
    <xf numFmtId="166" fontId="19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shrinkToFit="1"/>
    </xf>
    <xf numFmtId="0" fontId="43" fillId="0" borderId="12" xfId="0" applyFont="1" applyFill="1" applyBorder="1"/>
    <xf numFmtId="0" fontId="6" fillId="9" borderId="0" xfId="0" applyFont="1" applyFill="1" applyBorder="1"/>
    <xf numFmtId="0" fontId="26" fillId="9" borderId="0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center"/>
    </xf>
    <xf numFmtId="43" fontId="24" fillId="0" borderId="4" xfId="1" applyFont="1" applyFill="1" applyBorder="1" applyAlignment="1">
      <alignment horizontal="right"/>
    </xf>
    <xf numFmtId="0" fontId="23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/>
    </xf>
    <xf numFmtId="44" fontId="31" fillId="0" borderId="12" xfId="4" applyNumberFormat="1" applyFont="1" applyFill="1" applyBorder="1" applyAlignment="1">
      <alignment horizontal="center"/>
    </xf>
    <xf numFmtId="0" fontId="6" fillId="2" borderId="15" xfId="0" applyFont="1" applyFill="1" applyBorder="1"/>
    <xf numFmtId="0" fontId="13" fillId="2" borderId="15" xfId="3" applyFont="1" applyFill="1" applyBorder="1" applyAlignment="1" applyProtection="1">
      <alignment horizontal="left"/>
    </xf>
    <xf numFmtId="8" fontId="27" fillId="0" borderId="0" xfId="0" applyNumberFormat="1" applyFont="1" applyFill="1" applyBorder="1" applyAlignment="1">
      <alignment horizontal="right"/>
    </xf>
    <xf numFmtId="0" fontId="27" fillId="2" borderId="15" xfId="0" applyFont="1" applyFill="1" applyBorder="1" applyAlignment="1">
      <alignment horizontal="left"/>
    </xf>
    <xf numFmtId="8" fontId="31" fillId="0" borderId="0" xfId="0" applyNumberFormat="1" applyFont="1" applyFill="1" applyBorder="1" applyAlignment="1">
      <alignment horizontal="right"/>
    </xf>
    <xf numFmtId="0" fontId="27" fillId="2" borderId="15" xfId="0" applyFont="1" applyFill="1" applyBorder="1" applyAlignment="1">
      <alignment horizontal="left" shrinkToFit="1"/>
    </xf>
    <xf numFmtId="0" fontId="27" fillId="2" borderId="7" xfId="0" applyFont="1" applyFill="1" applyBorder="1" applyAlignment="1">
      <alignment shrinkToFit="1"/>
    </xf>
    <xf numFmtId="0" fontId="27" fillId="2" borderId="5" xfId="0" applyFont="1" applyFill="1" applyBorder="1" applyAlignment="1">
      <alignment shrinkToFit="1"/>
    </xf>
    <xf numFmtId="44" fontId="24" fillId="0" borderId="5" xfId="0" applyNumberFormat="1" applyFont="1" applyFill="1" applyBorder="1" applyAlignment="1">
      <alignment horizontal="right"/>
    </xf>
    <xf numFmtId="10" fontId="31" fillId="0" borderId="5" xfId="4" applyNumberFormat="1" applyFont="1" applyFill="1" applyBorder="1" applyAlignment="1">
      <alignment horizontal="right"/>
    </xf>
    <xf numFmtId="0" fontId="24" fillId="10" borderId="0" xfId="0" applyFont="1" applyFill="1"/>
    <xf numFmtId="10" fontId="46" fillId="11" borderId="0" xfId="4" applyNumberFormat="1" applyFont="1" applyFill="1" applyBorder="1" applyAlignment="1" applyProtection="1">
      <alignment horizontal="right"/>
    </xf>
    <xf numFmtId="10" fontId="47" fillId="11" borderId="0" xfId="4" applyNumberFormat="1" applyFont="1" applyFill="1" applyBorder="1" applyAlignment="1" applyProtection="1">
      <alignment horizontal="right"/>
    </xf>
    <xf numFmtId="10" fontId="31" fillId="11" borderId="0" xfId="4" applyNumberFormat="1" applyFont="1" applyFill="1" applyBorder="1" applyAlignment="1" applyProtection="1">
      <alignment horizontal="right"/>
    </xf>
    <xf numFmtId="10" fontId="31" fillId="10" borderId="0" xfId="4" applyNumberFormat="1" applyFont="1" applyFill="1" applyBorder="1" applyAlignment="1" applyProtection="1">
      <alignment horizontal="right"/>
    </xf>
    <xf numFmtId="0" fontId="24" fillId="11" borderId="0" xfId="0" applyFont="1" applyFill="1"/>
    <xf numFmtId="0" fontId="31" fillId="11" borderId="0" xfId="0" applyFont="1" applyFill="1"/>
    <xf numFmtId="0" fontId="31" fillId="11" borderId="0" xfId="0" applyFont="1" applyFill="1" applyAlignment="1">
      <alignment horizontal="center"/>
    </xf>
    <xf numFmtId="10" fontId="31" fillId="11" borderId="0" xfId="4" applyNumberFormat="1" applyFont="1" applyFill="1" applyBorder="1" applyAlignment="1" applyProtection="1">
      <alignment horizontal="center"/>
    </xf>
    <xf numFmtId="0" fontId="27" fillId="11" borderId="8" xfId="0" applyFont="1" applyFill="1" applyBorder="1" applyAlignment="1">
      <alignment horizontal="center"/>
    </xf>
    <xf numFmtId="0" fontId="27" fillId="11" borderId="8" xfId="0" applyFont="1" applyFill="1" applyBorder="1" applyAlignment="1">
      <alignment horizontal="right"/>
    </xf>
    <xf numFmtId="44" fontId="27" fillId="11" borderId="8" xfId="0" applyNumberFormat="1" applyFont="1" applyFill="1" applyBorder="1"/>
    <xf numFmtId="44" fontId="6" fillId="11" borderId="8" xfId="0" applyNumberFormat="1" applyFont="1" applyFill="1" applyBorder="1"/>
    <xf numFmtId="44" fontId="6" fillId="11" borderId="9" xfId="0" applyNumberFormat="1" applyFont="1" applyFill="1" applyBorder="1"/>
    <xf numFmtId="0" fontId="27" fillId="11" borderId="17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4" fontId="27" fillId="11" borderId="0" xfId="0" applyNumberFormat="1" applyFont="1" applyFill="1" applyAlignment="1">
      <alignment horizontal="right"/>
    </xf>
    <xf numFmtId="0" fontId="19" fillId="2" borderId="0" xfId="0" applyFont="1" applyFill="1" applyBorder="1" applyAlignment="1">
      <alignment horizontal="center"/>
    </xf>
    <xf numFmtId="10" fontId="31" fillId="0" borderId="9" xfId="4" applyNumberFormat="1" applyFont="1" applyFill="1" applyBorder="1" applyAlignment="1">
      <alignment horizontal="right"/>
    </xf>
    <xf numFmtId="165" fontId="27" fillId="11" borderId="0" xfId="4" applyNumberFormat="1" applyFont="1" applyFill="1" applyBorder="1" applyAlignment="1" applyProtection="1">
      <alignment horizontal="right"/>
    </xf>
    <xf numFmtId="8" fontId="33" fillId="0" borderId="5" xfId="0" applyNumberFormat="1" applyFont="1" applyFill="1" applyBorder="1" applyAlignment="1">
      <alignment horizontal="center"/>
    </xf>
    <xf numFmtId="8" fontId="35" fillId="0" borderId="5" xfId="0" applyNumberFormat="1" applyFont="1" applyFill="1" applyBorder="1" applyAlignment="1">
      <alignment horizontal="center"/>
    </xf>
    <xf numFmtId="44" fontId="24" fillId="11" borderId="0" xfId="0" applyNumberFormat="1" applyFont="1" applyFill="1"/>
    <xf numFmtId="0" fontId="24" fillId="11" borderId="0" xfId="0" applyFont="1" applyFill="1" applyBorder="1" applyAlignment="1"/>
    <xf numFmtId="0" fontId="49" fillId="11" borderId="0" xfId="3" applyFont="1" applyFill="1" applyAlignment="1" applyProtection="1">
      <alignment horizontal="right"/>
    </xf>
    <xf numFmtId="10" fontId="6" fillId="2" borderId="0" xfId="0" applyNumberFormat="1" applyFont="1" applyFill="1" applyBorder="1" applyAlignment="1">
      <alignment horizontal="center"/>
    </xf>
    <xf numFmtId="10" fontId="31" fillId="0" borderId="12" xfId="4" applyNumberFormat="1" applyFont="1" applyFill="1" applyBorder="1" applyAlignment="1">
      <alignment horizontal="right"/>
    </xf>
    <xf numFmtId="44" fontId="6" fillId="2" borderId="0" xfId="0" applyNumberFormat="1" applyFont="1" applyFill="1" applyBorder="1" applyAlignment="1">
      <alignment horizontal="center" shrinkToFit="1"/>
    </xf>
    <xf numFmtId="2" fontId="6" fillId="2" borderId="0" xfId="0" applyNumberFormat="1" applyFont="1" applyFill="1" applyBorder="1" applyAlignment="1">
      <alignment horizontal="center" shrinkToFit="1"/>
    </xf>
    <xf numFmtId="4" fontId="0" fillId="0" borderId="0" xfId="0" applyNumberFormat="1"/>
    <xf numFmtId="40" fontId="24" fillId="11" borderId="0" xfId="0" applyNumberFormat="1" applyFont="1" applyFill="1" applyAlignment="1">
      <alignment horizontal="right"/>
    </xf>
    <xf numFmtId="2" fontId="24" fillId="11" borderId="0" xfId="0" applyNumberFormat="1" applyFont="1" applyFill="1"/>
    <xf numFmtId="43" fontId="24" fillId="11" borderId="0" xfId="0" applyNumberFormat="1" applyFont="1" applyFill="1" applyAlignment="1">
      <alignment horizontal="right"/>
    </xf>
    <xf numFmtId="44" fontId="31" fillId="11" borderId="0" xfId="4" applyNumberFormat="1" applyFont="1" applyFill="1" applyBorder="1" applyAlignment="1" applyProtection="1">
      <alignment horizontal="right"/>
    </xf>
    <xf numFmtId="2" fontId="24" fillId="11" borderId="0" xfId="4" applyNumberFormat="1" applyFont="1" applyFill="1" applyBorder="1" applyAlignment="1" applyProtection="1">
      <alignment horizontal="right"/>
    </xf>
    <xf numFmtId="8" fontId="33" fillId="11" borderId="0" xfId="0" applyNumberFormat="1" applyFont="1" applyFill="1" applyBorder="1" applyAlignment="1">
      <alignment horizontal="right"/>
    </xf>
    <xf numFmtId="169" fontId="24" fillId="11" borderId="0" xfId="4" applyNumberFormat="1" applyFont="1" applyFill="1" applyBorder="1" applyAlignment="1" applyProtection="1">
      <alignment horizontal="right"/>
    </xf>
    <xf numFmtId="0" fontId="31" fillId="11" borderId="31" xfId="0" applyFont="1" applyFill="1" applyBorder="1" applyAlignment="1">
      <alignment horizontal="center"/>
    </xf>
    <xf numFmtId="0" fontId="31" fillId="11" borderId="31" xfId="0" applyFont="1" applyFill="1" applyBorder="1" applyAlignment="1">
      <alignment horizontal="right"/>
    </xf>
    <xf numFmtId="10" fontId="29" fillId="11" borderId="0" xfId="4" applyNumberFormat="1" applyFont="1" applyFill="1" applyBorder="1" applyAlignment="1" applyProtection="1">
      <alignment horizontal="right"/>
    </xf>
    <xf numFmtId="165" fontId="27" fillId="10" borderId="0" xfId="4" applyNumberFormat="1" applyFont="1" applyFill="1" applyBorder="1" applyAlignment="1" applyProtection="1">
      <alignment horizontal="right"/>
    </xf>
    <xf numFmtId="0" fontId="31" fillId="11" borderId="0" xfId="0" applyFont="1" applyFill="1" applyBorder="1" applyAlignment="1">
      <alignment horizontal="center"/>
    </xf>
    <xf numFmtId="0" fontId="31" fillId="10" borderId="0" xfId="0" applyFont="1" applyFill="1" applyBorder="1" applyAlignment="1">
      <alignment horizontal="center"/>
    </xf>
    <xf numFmtId="43" fontId="24" fillId="10" borderId="0" xfId="0" applyNumberFormat="1" applyFont="1" applyFill="1" applyAlignment="1">
      <alignment horizontal="right"/>
    </xf>
    <xf numFmtId="169" fontId="24" fillId="10" borderId="0" xfId="4" applyNumberFormat="1" applyFont="1" applyFill="1" applyBorder="1" applyAlignment="1" applyProtection="1">
      <alignment horizontal="right"/>
    </xf>
    <xf numFmtId="0" fontId="31" fillId="11" borderId="31" xfId="0" applyFont="1" applyFill="1" applyBorder="1" applyAlignment="1"/>
    <xf numFmtId="0" fontId="31" fillId="10" borderId="31" xfId="0" applyFont="1" applyFill="1" applyBorder="1" applyAlignment="1">
      <alignment horizontal="center"/>
    </xf>
    <xf numFmtId="40" fontId="24" fillId="10" borderId="0" xfId="0" applyNumberFormat="1" applyFont="1" applyFill="1" applyAlignment="1">
      <alignment horizontal="right"/>
    </xf>
    <xf numFmtId="0" fontId="31" fillId="10" borderId="0" xfId="0" applyFont="1" applyFill="1" applyBorder="1" applyAlignment="1">
      <alignment horizontal="right"/>
    </xf>
    <xf numFmtId="0" fontId="31" fillId="11" borderId="31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50" fillId="11" borderId="0" xfId="108" applyFont="1" applyFill="1"/>
    <xf numFmtId="0" fontId="50" fillId="10" borderId="0" xfId="108" applyFont="1" applyFill="1"/>
    <xf numFmtId="0" fontId="51" fillId="11" borderId="31" xfId="108" applyFont="1" applyFill="1" applyBorder="1" applyAlignment="1">
      <alignment horizontal="center"/>
    </xf>
    <xf numFmtId="0" fontId="51" fillId="11" borderId="0" xfId="108" applyFont="1" applyFill="1" applyBorder="1" applyAlignment="1">
      <alignment horizontal="center"/>
    </xf>
    <xf numFmtId="0" fontId="51" fillId="11" borderId="0" xfId="108" applyFont="1" applyFill="1"/>
    <xf numFmtId="10" fontId="51" fillId="11" borderId="0" xfId="4" applyNumberFormat="1" applyFont="1" applyFill="1" applyBorder="1" applyAlignment="1" applyProtection="1">
      <alignment horizontal="right"/>
    </xf>
    <xf numFmtId="43" fontId="50" fillId="11" borderId="0" xfId="108" applyNumberFormat="1" applyFont="1" applyFill="1" applyAlignment="1">
      <alignment horizontal="right"/>
    </xf>
    <xf numFmtId="40" fontId="50" fillId="11" borderId="0" xfId="108" applyNumberFormat="1" applyFont="1" applyFill="1" applyAlignment="1">
      <alignment horizontal="right"/>
    </xf>
    <xf numFmtId="0" fontId="24" fillId="10" borderId="0" xfId="108" applyFont="1" applyFill="1"/>
    <xf numFmtId="0" fontId="24" fillId="11" borderId="0" xfId="108" applyFont="1" applyFill="1" applyProtection="1"/>
    <xf numFmtId="0" fontId="31" fillId="11" borderId="0" xfId="108" applyFont="1" applyFill="1" applyAlignment="1" applyProtection="1">
      <alignment horizontal="right"/>
    </xf>
    <xf numFmtId="0" fontId="24" fillId="11" borderId="0" xfId="108" applyFont="1" applyFill="1"/>
    <xf numFmtId="0" fontId="47" fillId="11" borderId="31" xfId="108" applyFont="1" applyFill="1" applyBorder="1" applyAlignment="1" applyProtection="1">
      <alignment horizontal="left" vertical="top"/>
    </xf>
    <xf numFmtId="0" fontId="44" fillId="11" borderId="0" xfId="108" applyFont="1" applyFill="1" applyProtection="1"/>
    <xf numFmtId="0" fontId="45" fillId="11" borderId="0" xfId="108" applyFont="1" applyFill="1" applyAlignment="1" applyProtection="1">
      <alignment vertical="center"/>
    </xf>
    <xf numFmtId="10" fontId="24" fillId="11" borderId="0" xfId="108" applyNumberFormat="1" applyFont="1" applyFill="1"/>
    <xf numFmtId="0" fontId="24" fillId="11" borderId="0" xfId="108" applyFont="1" applyFill="1" applyBorder="1" applyAlignment="1"/>
    <xf numFmtId="0" fontId="45" fillId="11" borderId="0" xfId="108" applyFont="1" applyFill="1" applyAlignment="1" applyProtection="1">
      <alignment horizontal="right"/>
    </xf>
    <xf numFmtId="0" fontId="24" fillId="11" borderId="0" xfId="108" applyFont="1" applyFill="1" applyAlignment="1"/>
    <xf numFmtId="169" fontId="2" fillId="11" borderId="0" xfId="108" applyNumberFormat="1" applyFont="1" applyFill="1" applyAlignment="1"/>
    <xf numFmtId="0" fontId="31" fillId="11" borderId="0" xfId="108" applyFont="1" applyFill="1" applyAlignment="1">
      <alignment horizontal="left"/>
    </xf>
    <xf numFmtId="0" fontId="45" fillId="11" borderId="0" xfId="108" applyFont="1" applyFill="1" applyProtection="1"/>
    <xf numFmtId="0" fontId="24" fillId="11" borderId="0" xfId="108" applyFont="1" applyFill="1" applyAlignment="1">
      <alignment horizontal="right"/>
    </xf>
    <xf numFmtId="169" fontId="24" fillId="11" borderId="0" xfId="108" applyNumberFormat="1" applyFont="1" applyFill="1"/>
    <xf numFmtId="0" fontId="24" fillId="11" borderId="0" xfId="108" applyFont="1" applyFill="1" applyAlignment="1" applyProtection="1"/>
    <xf numFmtId="0" fontId="45" fillId="11" borderId="0" xfId="108" applyFont="1" applyFill="1" applyAlignment="1" applyProtection="1"/>
    <xf numFmtId="10" fontId="24" fillId="11" borderId="0" xfId="108" applyNumberFormat="1" applyFont="1" applyFill="1" applyProtection="1"/>
    <xf numFmtId="0" fontId="27" fillId="11" borderId="0" xfId="108" applyFont="1" applyFill="1"/>
    <xf numFmtId="0" fontId="24" fillId="10" borderId="0" xfId="108" applyFont="1" applyFill="1" applyProtection="1"/>
    <xf numFmtId="0" fontId="31" fillId="10" borderId="0" xfId="108" applyFont="1" applyFill="1" applyAlignment="1" applyProtection="1">
      <alignment horizontal="right"/>
    </xf>
    <xf numFmtId="10" fontId="24" fillId="10" borderId="0" xfId="108" applyNumberFormat="1" applyFont="1" applyFill="1" applyProtection="1"/>
    <xf numFmtId="43" fontId="48" fillId="11" borderId="0" xfId="108" applyNumberFormat="1" applyFont="1" applyFill="1" applyProtection="1"/>
    <xf numFmtId="0" fontId="46" fillId="11" borderId="0" xfId="108" applyFont="1" applyFill="1" applyProtection="1"/>
    <xf numFmtId="0" fontId="47" fillId="11" borderId="0" xfId="108" applyFont="1" applyFill="1" applyProtection="1"/>
    <xf numFmtId="0" fontId="48" fillId="11" borderId="0" xfId="108" applyFont="1" applyFill="1" applyAlignment="1" applyProtection="1">
      <alignment horizontal="left"/>
    </xf>
    <xf numFmtId="0" fontId="31" fillId="11" borderId="0" xfId="108" applyNumberFormat="1" applyFont="1" applyFill="1" applyAlignment="1" applyProtection="1">
      <alignment horizontal="right"/>
    </xf>
    <xf numFmtId="8" fontId="29" fillId="0" borderId="0" xfId="108" applyNumberFormat="1" applyFont="1" applyFill="1" applyBorder="1" applyAlignment="1">
      <alignment horizontal="center"/>
    </xf>
    <xf numFmtId="44" fontId="24" fillId="11" borderId="0" xfId="108" applyNumberFormat="1" applyFont="1" applyFill="1"/>
    <xf numFmtId="40" fontId="27" fillId="11" borderId="0" xfId="108" applyNumberFormat="1" applyFont="1" applyFill="1" applyAlignment="1">
      <alignment horizontal="center"/>
    </xf>
    <xf numFmtId="40" fontId="27" fillId="11" borderId="0" xfId="108" applyNumberFormat="1" applyFont="1" applyFill="1"/>
    <xf numFmtId="2" fontId="31" fillId="11" borderId="0" xfId="108" applyNumberFormat="1" applyFont="1" applyFill="1" applyAlignment="1" applyProtection="1">
      <alignment horizontal="right"/>
    </xf>
    <xf numFmtId="0" fontId="31" fillId="11" borderId="0" xfId="108" applyFont="1" applyFill="1"/>
    <xf numFmtId="0" fontId="29" fillId="11" borderId="0" xfId="108" applyFont="1" applyFill="1" applyAlignment="1">
      <alignment horizontal="right"/>
    </xf>
    <xf numFmtId="0" fontId="31" fillId="11" borderId="0" xfId="108" applyFont="1" applyFill="1" applyAlignment="1">
      <alignment horizontal="center"/>
    </xf>
    <xf numFmtId="14" fontId="27" fillId="11" borderId="0" xfId="108" applyNumberFormat="1" applyFont="1" applyFill="1" applyAlignment="1">
      <alignment horizontal="right"/>
    </xf>
    <xf numFmtId="40" fontId="31" fillId="11" borderId="0" xfId="108" applyNumberFormat="1" applyFont="1" applyFill="1" applyAlignment="1">
      <alignment horizontal="right"/>
    </xf>
    <xf numFmtId="2" fontId="31" fillId="11" borderId="0" xfId="108" applyNumberFormat="1" applyFont="1" applyFill="1" applyAlignment="1">
      <alignment horizontal="right"/>
    </xf>
    <xf numFmtId="0" fontId="31" fillId="11" borderId="0" xfId="108" applyFont="1" applyFill="1" applyAlignment="1">
      <alignment horizontal="right"/>
    </xf>
    <xf numFmtId="0" fontId="31" fillId="11" borderId="0" xfId="108" applyFont="1" applyFill="1" applyAlignment="1">
      <alignment horizontal="left" vertical="center"/>
    </xf>
    <xf numFmtId="0" fontId="24" fillId="11" borderId="0" xfId="108" applyFont="1" applyFill="1" applyAlignment="1"/>
    <xf numFmtId="0" fontId="24" fillId="11" borderId="0" xfId="0" applyFont="1" applyFill="1" applyBorder="1"/>
    <xf numFmtId="0" fontId="0" fillId="0" borderId="0" xfId="0" applyAlignment="1">
      <alignment horizontal="center"/>
    </xf>
    <xf numFmtId="43" fontId="24" fillId="11" borderId="0" xfId="0" applyNumberFormat="1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51" fillId="11" borderId="0" xfId="108" applyNumberFormat="1" applyFont="1" applyFill="1"/>
    <xf numFmtId="0" fontId="31" fillId="11" borderId="31" xfId="0" applyFont="1" applyFill="1" applyBorder="1" applyAlignment="1">
      <alignment horizontal="center"/>
    </xf>
    <xf numFmtId="0" fontId="31" fillId="11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31" fillId="11" borderId="0" xfId="4" applyNumberFormat="1" applyFont="1" applyFill="1" applyBorder="1" applyAlignment="1" applyProtection="1">
      <alignment horizontal="right"/>
    </xf>
    <xf numFmtId="165" fontId="27" fillId="11" borderId="0" xfId="4" applyNumberFormat="1" applyFont="1" applyFill="1" applyBorder="1" applyAlignment="1" applyProtection="1">
      <alignment horizontal="right"/>
    </xf>
    <xf numFmtId="44" fontId="31" fillId="11" borderId="0" xfId="4" applyNumberFormat="1" applyFont="1" applyFill="1" applyBorder="1" applyAlignment="1" applyProtection="1">
      <alignment horizontal="right"/>
    </xf>
    <xf numFmtId="165" fontId="27" fillId="11" borderId="0" xfId="4" applyNumberFormat="1" applyFont="1" applyFill="1" applyBorder="1" applyAlignment="1"/>
    <xf numFmtId="2" fontId="24" fillId="11" borderId="0" xfId="4" applyNumberFormat="1" applyFont="1" applyFill="1" applyBorder="1" applyAlignment="1" applyProtection="1">
      <alignment horizontal="right"/>
    </xf>
    <xf numFmtId="169" fontId="24" fillId="11" borderId="0" xfId="4" applyNumberFormat="1" applyFont="1" applyFill="1" applyBorder="1" applyAlignment="1" applyProtection="1">
      <alignment horizontal="right"/>
    </xf>
    <xf numFmtId="10" fontId="29" fillId="11" borderId="0" xfId="4" applyNumberFormat="1" applyFont="1" applyFill="1" applyBorder="1" applyAlignment="1" applyProtection="1">
      <alignment horizontal="right"/>
    </xf>
    <xf numFmtId="0" fontId="9" fillId="0" borderId="26" xfId="3" applyBorder="1" applyAlignment="1" applyProtection="1">
      <alignment vertical="top" wrapText="1"/>
    </xf>
    <xf numFmtId="0" fontId="9" fillId="0" borderId="27" xfId="3" applyBorder="1" applyAlignment="1" applyProtection="1">
      <alignment vertical="top" wrapText="1"/>
    </xf>
    <xf numFmtId="0" fontId="9" fillId="0" borderId="28" xfId="3" applyBorder="1" applyAlignment="1" applyProtection="1">
      <alignment vertical="top" wrapText="1"/>
    </xf>
    <xf numFmtId="0" fontId="24" fillId="11" borderId="0" xfId="108" applyFont="1" applyFill="1"/>
    <xf numFmtId="0" fontId="0" fillId="0" borderId="0" xfId="0" applyAlignment="1">
      <alignment horizontal="center"/>
    </xf>
    <xf numFmtId="4" fontId="24" fillId="11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1" fillId="11" borderId="31" xfId="0" applyFont="1" applyFill="1" applyBorder="1" applyAlignment="1">
      <alignment horizontal="center" wrapText="1"/>
    </xf>
    <xf numFmtId="0" fontId="24" fillId="11" borderId="31" xfId="108" applyFont="1" applyFill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31" fillId="11" borderId="0" xfId="0" applyNumberFormat="1" applyFont="1" applyFill="1" applyBorder="1" applyAlignment="1">
      <alignment horizontal="right"/>
    </xf>
    <xf numFmtId="40" fontId="6" fillId="12" borderId="7" xfId="0" applyNumberFormat="1" applyFont="1" applyFill="1" applyBorder="1" applyAlignment="1">
      <alignment horizontal="center" textRotation="90" shrinkToFit="1"/>
    </xf>
    <xf numFmtId="40" fontId="37" fillId="11" borderId="0" xfId="0" applyNumberFormat="1" applyFont="1" applyFill="1" applyAlignment="1">
      <alignment horizontal="centerContinuous"/>
    </xf>
    <xf numFmtId="40" fontId="6" fillId="11" borderId="7" xfId="0" applyNumberFormat="1" applyFont="1" applyFill="1" applyBorder="1" applyAlignment="1">
      <alignment horizontal="center" textRotation="90" shrinkToFit="1"/>
    </xf>
    <xf numFmtId="40" fontId="0" fillId="11" borderId="0" xfId="0" applyNumberFormat="1" applyFill="1"/>
    <xf numFmtId="0" fontId="0" fillId="13" borderId="0" xfId="0" applyFill="1" applyBorder="1"/>
    <xf numFmtId="0" fontId="6" fillId="13" borderId="0" xfId="0" applyFont="1" applyFill="1" applyBorder="1" applyAlignment="1">
      <alignment horizontal="center" textRotation="90" shrinkToFit="1"/>
    </xf>
    <xf numFmtId="0" fontId="0" fillId="13" borderId="21" xfId="0" applyFill="1" applyBorder="1"/>
    <xf numFmtId="40" fontId="0" fillId="13" borderId="21" xfId="0" applyNumberFormat="1" applyFill="1" applyBorder="1"/>
    <xf numFmtId="0" fontId="0" fillId="13" borderId="0" xfId="0" applyFill="1"/>
    <xf numFmtId="10" fontId="0" fillId="13" borderId="0" xfId="0" applyNumberFormat="1" applyFill="1"/>
    <xf numFmtId="0" fontId="0" fillId="13" borderId="7" xfId="0" applyFill="1" applyBorder="1" applyAlignment="1">
      <alignment horizontal="center" textRotation="90" shrinkToFit="1"/>
    </xf>
    <xf numFmtId="10" fontId="6" fillId="13" borderId="7" xfId="0" applyNumberFormat="1" applyFont="1" applyFill="1" applyBorder="1" applyAlignment="1">
      <alignment horizontal="center" textRotation="90" shrinkToFit="1"/>
    </xf>
    <xf numFmtId="10" fontId="5" fillId="13" borderId="7" xfId="0" applyNumberFormat="1" applyFont="1" applyFill="1" applyBorder="1" applyAlignment="1">
      <alignment horizontal="center" textRotation="90"/>
    </xf>
    <xf numFmtId="0" fontId="0" fillId="13" borderId="0" xfId="0" applyFill="1" applyAlignment="1">
      <alignment textRotation="75" shrinkToFit="1"/>
    </xf>
    <xf numFmtId="0" fontId="0" fillId="13" borderId="0" xfId="0" applyFill="1" applyAlignment="1">
      <alignment horizontal="center" vertical="center" shrinkToFit="1"/>
    </xf>
    <xf numFmtId="10" fontId="6" fillId="13" borderId="0" xfId="0" applyNumberFormat="1" applyFont="1" applyFill="1" applyBorder="1" applyAlignment="1">
      <alignment horizontal="center" vertical="center" shrinkToFit="1"/>
    </xf>
    <xf numFmtId="10" fontId="6" fillId="13" borderId="0" xfId="0" applyNumberFormat="1" applyFont="1" applyFill="1" applyBorder="1" applyAlignment="1">
      <alignment horizontal="center" vertical="center"/>
    </xf>
    <xf numFmtId="0" fontId="0" fillId="13" borderId="0" xfId="0" applyFill="1" applyAlignment="1">
      <alignment vertical="center" shrinkToFit="1"/>
    </xf>
    <xf numFmtId="0" fontId="0" fillId="13" borderId="0" xfId="0" applyFill="1" applyAlignment="1">
      <alignment horizontal="center"/>
    </xf>
    <xf numFmtId="40" fontId="0" fillId="12" borderId="0" xfId="0" applyNumberFormat="1" applyFill="1" applyBorder="1" applyAlignment="1">
      <alignment horizontal="centerContinuous"/>
    </xf>
    <xf numFmtId="10" fontId="0" fillId="12" borderId="0" xfId="0" applyNumberFormat="1" applyFill="1" applyBorder="1" applyAlignment="1">
      <alignment horizontal="centerContinuous"/>
    </xf>
    <xf numFmtId="40" fontId="0" fillId="12" borderId="0" xfId="0" applyNumberFormat="1" applyFill="1" applyBorder="1"/>
    <xf numFmtId="10" fontId="0" fillId="12" borderId="0" xfId="0" applyNumberFormat="1" applyFill="1" applyBorder="1"/>
    <xf numFmtId="40" fontId="37" fillId="11" borderId="0" xfId="0" applyNumberFormat="1" applyFont="1" applyFill="1" applyBorder="1" applyAlignment="1">
      <alignment horizontal="centerContinuous"/>
    </xf>
    <xf numFmtId="40" fontId="0" fillId="11" borderId="0" xfId="0" applyNumberFormat="1" applyFill="1" applyBorder="1"/>
    <xf numFmtId="10" fontId="0" fillId="12" borderId="0" xfId="0" applyNumberFormat="1" applyFill="1" applyAlignment="1">
      <alignment horizontal="centerContinuous"/>
    </xf>
    <xf numFmtId="0" fontId="0" fillId="12" borderId="0" xfId="0" applyNumberFormat="1" applyFill="1" applyAlignment="1">
      <alignment horizontal="centerContinuous"/>
    </xf>
    <xf numFmtId="1" fontId="0" fillId="12" borderId="0" xfId="0" applyNumberFormat="1" applyFill="1" applyAlignment="1">
      <alignment horizontal="centerContinuous"/>
    </xf>
    <xf numFmtId="10" fontId="0" fillId="12" borderId="0" xfId="0" applyNumberFormat="1" applyFill="1"/>
    <xf numFmtId="0" fontId="0" fillId="12" borderId="0" xfId="0" applyNumberFormat="1" applyFill="1" applyAlignment="1">
      <alignment horizontal="right"/>
    </xf>
    <xf numFmtId="1" fontId="0" fillId="12" borderId="0" xfId="0" applyNumberFormat="1" applyFill="1"/>
    <xf numFmtId="40" fontId="37" fillId="12" borderId="0" xfId="0" applyNumberFormat="1" applyFont="1" applyFill="1" applyAlignment="1">
      <alignment horizontal="centerContinuous"/>
    </xf>
    <xf numFmtId="0" fontId="0" fillId="12" borderId="0" xfId="0" applyFill="1"/>
    <xf numFmtId="0" fontId="6" fillId="12" borderId="7" xfId="0" applyFont="1" applyFill="1" applyBorder="1" applyAlignment="1">
      <alignment horizontal="center" textRotation="90" shrinkToFit="1"/>
    </xf>
    <xf numFmtId="14" fontId="4" fillId="12" borderId="0" xfId="0" applyNumberFormat="1" applyFont="1" applyFill="1" applyBorder="1" applyAlignment="1">
      <alignment vertical="center" shrinkToFit="1"/>
    </xf>
    <xf numFmtId="14" fontId="0" fillId="12" borderId="0" xfId="0" applyNumberFormat="1" applyFill="1"/>
    <xf numFmtId="0" fontId="24" fillId="11" borderId="0" xfId="108" applyFont="1" applyFill="1" applyAlignment="1"/>
    <xf numFmtId="0" fontId="45" fillId="10" borderId="0" xfId="108" applyFont="1" applyFill="1" applyAlignment="1" applyProtection="1">
      <alignment horizontal="right"/>
    </xf>
    <xf numFmtId="169" fontId="2" fillId="10" borderId="0" xfId="108" applyNumberFormat="1" applyFont="1" applyFill="1" applyAlignment="1"/>
    <xf numFmtId="170" fontId="27" fillId="11" borderId="0" xfId="4" applyNumberFormat="1" applyFont="1" applyFill="1" applyBorder="1" applyAlignment="1" applyProtection="1">
      <alignment horizontal="left"/>
    </xf>
    <xf numFmtId="14" fontId="52" fillId="11" borderId="0" xfId="108" applyNumberFormat="1" applyFont="1" applyFill="1" applyAlignment="1">
      <alignment horizontal="right"/>
    </xf>
    <xf numFmtId="165" fontId="27" fillId="11" borderId="32" xfId="4" applyNumberFormat="1" applyFont="1" applyFill="1" applyBorder="1" applyAlignment="1" applyProtection="1">
      <alignment horizontal="right"/>
    </xf>
    <xf numFmtId="165" fontId="27" fillId="10" borderId="32" xfId="4" applyNumberFormat="1" applyFont="1" applyFill="1" applyBorder="1" applyAlignment="1" applyProtection="1">
      <alignment horizontal="right"/>
    </xf>
    <xf numFmtId="10" fontId="29" fillId="11" borderId="32" xfId="4" applyNumberFormat="1" applyFont="1" applyFill="1" applyBorder="1" applyAlignment="1" applyProtection="1">
      <alignment horizontal="right"/>
    </xf>
    <xf numFmtId="170" fontId="27" fillId="11" borderId="0" xfId="4" applyNumberFormat="1" applyFont="1" applyFill="1" applyBorder="1" applyAlignment="1" applyProtection="1"/>
    <xf numFmtId="4" fontId="24" fillId="0" borderId="4" xfId="0" applyNumberFormat="1" applyFont="1" applyFill="1" applyBorder="1" applyAlignment="1">
      <alignment shrinkToFit="1"/>
    </xf>
    <xf numFmtId="4" fontId="24" fillId="2" borderId="4" xfId="0" applyNumberFormat="1" applyFont="1" applyFill="1" applyBorder="1" applyAlignment="1">
      <alignment shrinkToFit="1"/>
    </xf>
    <xf numFmtId="0" fontId="12" fillId="2" borderId="15" xfId="0" applyFont="1" applyFill="1" applyBorder="1"/>
    <xf numFmtId="0" fontId="7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8" fontId="31" fillId="0" borderId="0" xfId="108" applyNumberFormat="1" applyFont="1" applyFill="1" applyBorder="1" applyAlignment="1">
      <alignment horizontal="center"/>
    </xf>
    <xf numFmtId="2" fontId="39" fillId="0" borderId="29" xfId="0" applyNumberFormat="1" applyFont="1" applyFill="1" applyBorder="1" applyAlignment="1">
      <alignment vertical="center" wrapText="1"/>
    </xf>
    <xf numFmtId="172" fontId="39" fillId="0" borderId="29" xfId="0" applyNumberFormat="1" applyFont="1" applyFill="1" applyBorder="1" applyAlignment="1">
      <alignment vertical="center" wrapText="1"/>
    </xf>
    <xf numFmtId="172" fontId="0" fillId="8" borderId="0" xfId="0" applyNumberFormat="1" applyFill="1" applyBorder="1"/>
    <xf numFmtId="173" fontId="0" fillId="8" borderId="0" xfId="0" applyNumberFormat="1" applyFill="1" applyBorder="1"/>
    <xf numFmtId="0" fontId="39" fillId="0" borderId="29" xfId="0" applyFont="1" applyFill="1" applyBorder="1" applyAlignment="1">
      <alignment horizontal="center" vertical="center" wrapText="1"/>
    </xf>
    <xf numFmtId="0" fontId="51" fillId="11" borderId="0" xfId="108" applyFont="1" applyFill="1" applyAlignment="1">
      <alignment horizontal="center"/>
    </xf>
    <xf numFmtId="10" fontId="51" fillId="11" borderId="0" xfId="108" applyNumberFormat="1" applyFont="1" applyFill="1" applyAlignment="1">
      <alignment horizontal="center"/>
    </xf>
    <xf numFmtId="43" fontId="51" fillId="11" borderId="0" xfId="108" applyNumberFormat="1" applyFont="1" applyFill="1" applyAlignment="1">
      <alignment horizontal="center"/>
    </xf>
    <xf numFmtId="14" fontId="51" fillId="11" borderId="31" xfId="108" applyNumberFormat="1" applyFont="1" applyFill="1" applyBorder="1" applyAlignment="1">
      <alignment horizontal="center" wrapText="1"/>
    </xf>
    <xf numFmtId="0" fontId="51" fillId="11" borderId="31" xfId="108" applyFont="1" applyFill="1" applyBorder="1" applyAlignment="1">
      <alignment horizontal="left"/>
    </xf>
    <xf numFmtId="0" fontId="51" fillId="11" borderId="31" xfId="108" applyFont="1" applyFill="1" applyBorder="1" applyAlignment="1">
      <alignment horizontal="left" wrapText="1"/>
    </xf>
    <xf numFmtId="0" fontId="0" fillId="10" borderId="0" xfId="0" applyFill="1" applyBorder="1"/>
    <xf numFmtId="14" fontId="0" fillId="10" borderId="0" xfId="0" applyNumberFormat="1" applyFill="1" applyBorder="1"/>
    <xf numFmtId="0" fontId="0" fillId="10" borderId="0" xfId="0" applyFill="1"/>
    <xf numFmtId="0" fontId="53" fillId="10" borderId="0" xfId="0" applyFont="1" applyFill="1" applyBorder="1" applyAlignment="1">
      <alignment horizontal="left" vertical="top" wrapText="1"/>
    </xf>
    <xf numFmtId="0" fontId="54" fillId="10" borderId="0" xfId="0" applyFont="1" applyFill="1" applyBorder="1"/>
    <xf numFmtId="2" fontId="24" fillId="11" borderId="0" xfId="0" applyNumberFormat="1" applyFont="1" applyFill="1" applyBorder="1"/>
    <xf numFmtId="4" fontId="24" fillId="11" borderId="0" xfId="0" applyNumberFormat="1" applyFont="1" applyFill="1" applyBorder="1"/>
    <xf numFmtId="43" fontId="24" fillId="11" borderId="0" xfId="0" applyNumberFormat="1" applyFont="1" applyFill="1" applyBorder="1" applyAlignment="1">
      <alignment horizontal="right"/>
    </xf>
    <xf numFmtId="43" fontId="24" fillId="11" borderId="0" xfId="108" applyNumberFormat="1" applyFont="1" applyFill="1" applyBorder="1" applyAlignment="1">
      <alignment horizontal="right"/>
    </xf>
    <xf numFmtId="43" fontId="24" fillId="10" borderId="0" xfId="0" applyNumberFormat="1" applyFont="1" applyFill="1" applyBorder="1" applyAlignment="1">
      <alignment horizontal="right"/>
    </xf>
    <xf numFmtId="0" fontId="24" fillId="11" borderId="32" xfId="0" applyFont="1" applyFill="1" applyBorder="1"/>
    <xf numFmtId="40" fontId="24" fillId="11" borderId="32" xfId="0" applyNumberFormat="1" applyFont="1" applyFill="1" applyBorder="1" applyAlignment="1">
      <alignment horizontal="right"/>
    </xf>
    <xf numFmtId="40" fontId="24" fillId="10" borderId="32" xfId="0" applyNumberFormat="1" applyFont="1" applyFill="1" applyBorder="1" applyAlignment="1">
      <alignment horizontal="right"/>
    </xf>
    <xf numFmtId="44" fontId="31" fillId="11" borderId="32" xfId="4" applyNumberFormat="1" applyFont="1" applyFill="1" applyBorder="1" applyAlignment="1" applyProtection="1">
      <alignment horizontal="right"/>
    </xf>
    <xf numFmtId="10" fontId="31" fillId="11" borderId="32" xfId="4" applyNumberFormat="1" applyFont="1" applyFill="1" applyBorder="1" applyAlignment="1" applyProtection="1">
      <alignment horizontal="right"/>
    </xf>
    <xf numFmtId="0" fontId="31" fillId="11" borderId="31" xfId="0" applyFont="1" applyFill="1" applyBorder="1" applyAlignment="1">
      <alignment horizontal="center" wrapText="1" shrinkToFit="1"/>
    </xf>
    <xf numFmtId="43" fontId="51" fillId="11" borderId="0" xfId="108" applyNumberFormat="1" applyFont="1" applyFill="1"/>
    <xf numFmtId="40" fontId="9" fillId="11" borderId="0" xfId="3" applyNumberFormat="1" applyFill="1" applyAlignment="1" applyProtection="1"/>
    <xf numFmtId="0" fontId="31" fillId="11" borderId="31" xfId="0" applyFont="1" applyFill="1" applyBorder="1" applyAlignment="1">
      <alignment horizontal="right"/>
    </xf>
    <xf numFmtId="1" fontId="24" fillId="11" borderId="0" xfId="108" applyNumberFormat="1" applyFont="1" applyFill="1"/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10" fontId="1" fillId="0" borderId="19" xfId="0" applyNumberFormat="1" applyFont="1" applyBorder="1" applyAlignment="1">
      <alignment horizontal="right" vertical="top" wrapText="1"/>
    </xf>
    <xf numFmtId="174" fontId="58" fillId="11" borderId="0" xfId="0" applyNumberFormat="1" applyFont="1" applyFill="1"/>
    <xf numFmtId="174" fontId="59" fillId="0" borderId="0" xfId="0" applyNumberFormat="1" applyFont="1"/>
    <xf numFmtId="14" fontId="0" fillId="0" borderId="0" xfId="0" applyNumberFormat="1" applyBorder="1" applyAlignment="1">
      <alignment horizontal="left"/>
    </xf>
    <xf numFmtId="175" fontId="46" fillId="11" borderId="0" xfId="4" applyNumberFormat="1" applyFont="1" applyFill="1" applyBorder="1" applyAlignment="1" applyProtection="1">
      <alignment horizontal="right"/>
    </xf>
    <xf numFmtId="40" fontId="24" fillId="11" borderId="0" xfId="0" applyNumberFormat="1" applyFont="1" applyFill="1" applyBorder="1" applyAlignment="1">
      <alignment horizontal="right"/>
    </xf>
    <xf numFmtId="40" fontId="24" fillId="10" borderId="0" xfId="0" applyNumberFormat="1" applyFont="1" applyFill="1" applyBorder="1" applyAlignment="1">
      <alignment horizontal="right"/>
    </xf>
    <xf numFmtId="176" fontId="46" fillId="11" borderId="0" xfId="4" applyNumberFormat="1" applyFont="1" applyFill="1" applyBorder="1" applyAlignment="1" applyProtection="1">
      <alignment horizontal="right"/>
    </xf>
    <xf numFmtId="43" fontId="24" fillId="11" borderId="0" xfId="108" applyNumberFormat="1" applyFont="1" applyFill="1" applyAlignment="1">
      <alignment horizontal="right"/>
    </xf>
    <xf numFmtId="40" fontId="0" fillId="11" borderId="32" xfId="0" applyNumberFormat="1" applyFill="1" applyBorder="1"/>
    <xf numFmtId="40" fontId="0" fillId="0" borderId="32" xfId="0" applyNumberFormat="1" applyFill="1" applyBorder="1"/>
    <xf numFmtId="0" fontId="0" fillId="11" borderId="0" xfId="0" applyFill="1"/>
    <xf numFmtId="0" fontId="0" fillId="0" borderId="0" xfId="0" applyFill="1" applyBorder="1"/>
    <xf numFmtId="40" fontId="0" fillId="0" borderId="18" xfId="0" applyNumberFormat="1" applyFill="1" applyBorder="1"/>
    <xf numFmtId="10" fontId="0" fillId="0" borderId="18" xfId="0" applyNumberFormat="1" applyFill="1" applyBorder="1"/>
    <xf numFmtId="40" fontId="6" fillId="0" borderId="18" xfId="0" applyNumberFormat="1" applyFont="1" applyFill="1" applyBorder="1" applyAlignment="1">
      <alignment vertical="center" shrinkToFit="1"/>
    </xf>
    <xf numFmtId="10" fontId="6" fillId="0" borderId="18" xfId="0" applyNumberFormat="1" applyFont="1" applyFill="1" applyBorder="1" applyAlignment="1">
      <alignment horizontal="center" vertical="center" shrinkToFit="1"/>
    </xf>
    <xf numFmtId="4" fontId="0" fillId="0" borderId="18" xfId="0" applyNumberFormat="1" applyFill="1" applyBorder="1"/>
    <xf numFmtId="0" fontId="0" fillId="0" borderId="18" xfId="0" applyFill="1" applyBorder="1"/>
    <xf numFmtId="171" fontId="27" fillId="11" borderId="0" xfId="0" applyNumberFormat="1" applyFont="1" applyFill="1" applyBorder="1" applyAlignment="1">
      <alignment horizontal="right"/>
    </xf>
    <xf numFmtId="44" fontId="24" fillId="11" borderId="0" xfId="0" applyNumberFormat="1" applyFont="1" applyFill="1" applyAlignment="1">
      <alignment horizontal="right"/>
    </xf>
    <xf numFmtId="2" fontId="24" fillId="11" borderId="0" xfId="0" applyNumberFormat="1" applyFont="1" applyFill="1" applyBorder="1" applyAlignment="1">
      <alignment horizontal="right"/>
    </xf>
    <xf numFmtId="0" fontId="55" fillId="11" borderId="0" xfId="108" applyFont="1" applyFill="1" applyAlignment="1"/>
    <xf numFmtId="0" fontId="56" fillId="11" borderId="0" xfId="108" applyFont="1" applyFill="1" applyAlignment="1"/>
    <xf numFmtId="2" fontId="24" fillId="11" borderId="0" xfId="0" applyNumberFormat="1" applyFont="1" applyFill="1" applyAlignment="1">
      <alignment horizontal="right"/>
    </xf>
    <xf numFmtId="0" fontId="55" fillId="11" borderId="0" xfId="108" applyFont="1" applyFill="1" applyAlignment="1"/>
    <xf numFmtId="0" fontId="56" fillId="11" borderId="0" xfId="108" applyFont="1" applyFill="1" applyAlignment="1"/>
    <xf numFmtId="1" fontId="24" fillId="11" borderId="0" xfId="108" applyNumberFormat="1" applyFont="1" applyFill="1" applyBorder="1" applyProtection="1"/>
    <xf numFmtId="177" fontId="46" fillId="11" borderId="0" xfId="4" applyNumberFormat="1" applyFont="1" applyFill="1" applyBorder="1" applyAlignment="1" applyProtection="1">
      <alignment horizontal="right"/>
    </xf>
    <xf numFmtId="171" fontId="27" fillId="11" borderId="0" xfId="0" applyNumberFormat="1" applyFont="1" applyFill="1" applyBorder="1" applyAlignment="1"/>
    <xf numFmtId="14" fontId="31" fillId="11" borderId="31" xfId="0" applyNumberFormat="1" applyFont="1" applyFill="1" applyBorder="1" applyAlignment="1">
      <alignment horizontal="center"/>
    </xf>
    <xf numFmtId="0" fontId="2" fillId="0" borderId="0" xfId="0" applyFont="1"/>
    <xf numFmtId="10" fontId="0" fillId="0" borderId="0" xfId="4" applyNumberFormat="1" applyFont="1"/>
    <xf numFmtId="2" fontId="31" fillId="11" borderId="0" xfId="0" applyNumberFormat="1" applyFont="1" applyFill="1"/>
    <xf numFmtId="43" fontId="63" fillId="11" borderId="0" xfId="108" applyNumberFormat="1" applyFont="1" applyFill="1" applyAlignment="1">
      <alignment horizontal="right"/>
    </xf>
    <xf numFmtId="0" fontId="24" fillId="11" borderId="0" xfId="0" applyFont="1" applyFill="1" applyAlignment="1">
      <alignment horizontal="right"/>
    </xf>
    <xf numFmtId="10" fontId="24" fillId="11" borderId="0" xfId="108" applyNumberFormat="1" applyFont="1" applyFill="1" applyAlignment="1">
      <alignment horizontal="right"/>
    </xf>
    <xf numFmtId="10" fontId="24" fillId="11" borderId="0" xfId="0" applyNumberFormat="1" applyFont="1" applyFill="1"/>
    <xf numFmtId="10" fontId="24" fillId="11" borderId="31" xfId="0" applyNumberFormat="1" applyFont="1" applyFill="1" applyBorder="1"/>
    <xf numFmtId="44" fontId="64" fillId="11" borderId="0" xfId="108" applyNumberFormat="1" applyFont="1" applyFill="1"/>
    <xf numFmtId="14" fontId="0" fillId="11" borderId="0" xfId="0" applyNumberFormat="1" applyFill="1"/>
    <xf numFmtId="0" fontId="2" fillId="11" borderId="31" xfId="0" applyFont="1" applyFill="1" applyBorder="1" applyAlignment="1">
      <alignment horizontal="center"/>
    </xf>
    <xf numFmtId="10" fontId="0" fillId="11" borderId="0" xfId="0" applyNumberFormat="1" applyFill="1"/>
    <xf numFmtId="0" fontId="55" fillId="11" borderId="0" xfId="108" applyFont="1" applyFill="1" applyAlignment="1"/>
    <xf numFmtId="0" fontId="56" fillId="11" borderId="0" xfId="108" applyFont="1" applyFill="1" applyAlignment="1"/>
    <xf numFmtId="0" fontId="47" fillId="11" borderId="0" xfId="108" applyFont="1" applyFill="1" applyAlignment="1" applyProtection="1">
      <alignment horizontal="left"/>
    </xf>
    <xf numFmtId="0" fontId="29" fillId="11" borderId="0" xfId="108" applyFont="1" applyFill="1" applyAlignment="1"/>
    <xf numFmtId="0" fontId="24" fillId="0" borderId="0" xfId="108" applyFont="1" applyAlignment="1"/>
    <xf numFmtId="0" fontId="48" fillId="11" borderId="0" xfId="108" applyFont="1" applyFill="1" applyAlignment="1">
      <alignment horizontal="left"/>
    </xf>
    <xf numFmtId="0" fontId="24" fillId="11" borderId="0" xfId="108" applyFont="1" applyFill="1" applyAlignment="1"/>
    <xf numFmtId="0" fontId="1" fillId="0" borderId="0" xfId="108" applyAlignment="1"/>
    <xf numFmtId="0" fontId="46" fillId="11" borderId="0" xfId="108" applyFont="1" applyFill="1" applyAlignment="1" applyProtection="1">
      <alignment horizontal="left"/>
    </xf>
    <xf numFmtId="0" fontId="57" fillId="11" borderId="0" xfId="108" applyFont="1" applyFill="1" applyBorder="1" applyAlignment="1">
      <alignment horizontal="center"/>
    </xf>
    <xf numFmtId="0" fontId="31" fillId="11" borderId="31" xfId="0" applyFont="1" applyFill="1" applyBorder="1" applyAlignment="1"/>
    <xf numFmtId="171" fontId="27" fillId="11" borderId="0" xfId="0" applyNumberFormat="1" applyFont="1" applyFill="1" applyBorder="1" applyAlignment="1"/>
    <xf numFmtId="171" fontId="27" fillId="11" borderId="0" xfId="0" applyNumberFormat="1" applyFont="1" applyFill="1" applyBorder="1" applyAlignment="1">
      <alignment horizontal="right"/>
    </xf>
    <xf numFmtId="0" fontId="31" fillId="11" borderId="31" xfId="0" applyFont="1" applyFill="1" applyBorder="1" applyAlignment="1">
      <alignment horizontal="center"/>
    </xf>
    <xf numFmtId="171" fontId="27" fillId="11" borderId="32" xfId="0" applyNumberFormat="1" applyFont="1" applyFill="1" applyBorder="1" applyAlignment="1">
      <alignment horizontal="right"/>
    </xf>
    <xf numFmtId="0" fontId="31" fillId="11" borderId="31" xfId="0" applyFont="1" applyFill="1" applyBorder="1" applyAlignment="1">
      <alignment horizontal="right"/>
    </xf>
    <xf numFmtId="0" fontId="0" fillId="0" borderId="31" xfId="0" applyBorder="1" applyAlignment="1"/>
    <xf numFmtId="0" fontId="36" fillId="7" borderId="24" xfId="0" applyFont="1" applyFill="1" applyBorder="1" applyAlignment="1">
      <alignment wrapText="1"/>
    </xf>
    <xf numFmtId="0" fontId="9" fillId="0" borderId="2" xfId="3" applyBorder="1" applyAlignment="1" applyProtection="1">
      <alignment wrapText="1"/>
    </xf>
    <xf numFmtId="7" fontId="4" fillId="0" borderId="34" xfId="2" applyNumberFormat="1" applyFont="1" applyFill="1" applyBorder="1" applyAlignment="1">
      <alignment horizontal="center"/>
    </xf>
    <xf numFmtId="7" fontId="4" fillId="0" borderId="25" xfId="2" applyNumberFormat="1" applyFont="1" applyFill="1" applyBorder="1" applyAlignment="1">
      <alignment horizontal="center"/>
    </xf>
    <xf numFmtId="9" fontId="2" fillId="0" borderId="34" xfId="4" applyNumberFormat="1" applyFont="1" applyFill="1" applyBorder="1" applyAlignment="1">
      <alignment horizontal="center"/>
    </xf>
    <xf numFmtId="9" fontId="2" fillId="0" borderId="35" xfId="4" applyNumberFormat="1" applyFont="1" applyFill="1" applyBorder="1" applyAlignment="1">
      <alignment horizontal="center"/>
    </xf>
    <xf numFmtId="164" fontId="2" fillId="0" borderId="0" xfId="4" applyNumberFormat="1" applyFont="1" applyFill="1" applyBorder="1" applyAlignment="1">
      <alignment horizontal="center"/>
    </xf>
    <xf numFmtId="164" fontId="2" fillId="0" borderId="5" xfId="4" applyNumberFormat="1" applyFont="1" applyFill="1" applyBorder="1" applyAlignment="1">
      <alignment horizontal="center"/>
    </xf>
    <xf numFmtId="7" fontId="4" fillId="0" borderId="0" xfId="2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0" fontId="62" fillId="0" borderId="36" xfId="0" applyNumberFormat="1" applyFont="1" applyFill="1" applyBorder="1" applyAlignment="1">
      <alignment horizontal="center"/>
    </xf>
    <xf numFmtId="40" fontId="62" fillId="0" borderId="37" xfId="0" applyNumberFormat="1" applyFont="1" applyFill="1" applyBorder="1" applyAlignment="1">
      <alignment horizontal="center"/>
    </xf>
    <xf numFmtId="40" fontId="62" fillId="0" borderId="19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11" borderId="0" xfId="0" applyFill="1" applyAlignment="1">
      <alignment horizontal="center"/>
    </xf>
    <xf numFmtId="14" fontId="6" fillId="2" borderId="0" xfId="0" applyNumberFormat="1" applyFont="1" applyFill="1" applyBorder="1" applyAlignment="1">
      <alignment horizontal="right" shrinkToFit="1"/>
    </xf>
    <xf numFmtId="14" fontId="6" fillId="2" borderId="0" xfId="0" applyNumberFormat="1" applyFont="1" applyFill="1" applyBorder="1" applyAlignment="1">
      <alignment horizontal="center" shrinkToFit="1"/>
    </xf>
    <xf numFmtId="0" fontId="23" fillId="0" borderId="1" xfId="0" applyFont="1" applyFill="1" applyBorder="1" applyAlignment="1">
      <alignment horizontal="center" shrinkToFit="1"/>
    </xf>
    <xf numFmtId="0" fontId="23" fillId="0" borderId="3" xfId="0" applyFont="1" applyFill="1" applyBorder="1" applyAlignment="1">
      <alignment horizontal="center" shrinkToFit="1"/>
    </xf>
    <xf numFmtId="0" fontId="19" fillId="2" borderId="0" xfId="0" applyFont="1" applyFill="1" applyBorder="1" applyAlignment="1">
      <alignment horizontal="center"/>
    </xf>
    <xf numFmtId="2" fontId="31" fillId="0" borderId="1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18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Hyperlink" xfId="3" builtinId="8"/>
    <cellStyle name="Normal" xfId="0" builtinId="0"/>
    <cellStyle name="Normal 2" xfId="108"/>
    <cellStyle name="Percent" xfId="4" builtinId="5"/>
  </cellStyles>
  <dxfs count="24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556A2C"/>
      </font>
    </dxf>
    <dxf>
      <font>
        <color rgb="FFFF0000"/>
      </font>
    </dxf>
    <dxf>
      <font>
        <color rgb="FFFF0000"/>
      </font>
    </dxf>
    <dxf>
      <font>
        <color rgb="FF556A2C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556A2C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627A32"/>
      </font>
    </dxf>
    <dxf>
      <font>
        <color rgb="FF556A2C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556A2C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556A2C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556A2C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556A2C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627A32"/>
      </font>
    </dxf>
    <dxf>
      <font>
        <color rgb="FF556A2C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627A32"/>
      </font>
    </dxf>
    <dxf>
      <font>
        <color rgb="FF556A2C"/>
      </font>
    </dxf>
    <dxf>
      <font>
        <color rgb="FFFF0000"/>
      </font>
    </dxf>
    <dxf>
      <font>
        <b val="0"/>
        <i/>
        <color theme="0" tint="-0.2499465926084170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627A32"/>
      </font>
    </dxf>
    <dxf>
      <font>
        <color rgb="FF556A2C"/>
      </font>
    </dxf>
    <dxf>
      <font>
        <color rgb="FFFF0000"/>
      </font>
    </dxf>
    <dxf>
      <font>
        <b val="0"/>
        <i/>
        <color theme="0" tint="-0.2499465926084170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627A32"/>
      </font>
    </dxf>
    <dxf>
      <font>
        <color rgb="FF556A2C"/>
      </font>
    </dxf>
    <dxf>
      <font>
        <color rgb="FFFF0000"/>
      </font>
    </dxf>
    <dxf>
      <font>
        <b val="0"/>
        <i/>
        <color theme="0" tint="-0.24994659260841701"/>
      </font>
    </dxf>
    <dxf>
      <font>
        <color rgb="FF627A32"/>
      </font>
    </dxf>
    <dxf>
      <font>
        <color rgb="FF556A2C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627A32"/>
      </font>
    </dxf>
    <dxf>
      <font>
        <color rgb="FF556A2C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627A32"/>
      </font>
    </dxf>
    <dxf>
      <font>
        <color rgb="FF556A2C"/>
      </font>
    </dxf>
    <dxf>
      <font>
        <color rgb="FFFF0000"/>
      </font>
    </dxf>
    <dxf>
      <font>
        <b val="0"/>
        <i/>
        <color theme="0" tint="-0.24994659260841701"/>
      </font>
    </dxf>
    <dxf>
      <font>
        <color rgb="FFFF0000"/>
      </font>
    </dxf>
    <dxf>
      <font>
        <color rgb="FF627A32"/>
      </font>
    </dxf>
    <dxf>
      <font>
        <color rgb="FF556A2C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8000"/>
      <color rgb="FF556A2C"/>
      <color rgb="FF627A32"/>
      <color rgb="FF64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16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chartsheet" Target="chartsheets/sheet1.xml"/><Relationship Id="rId11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chartsheet" Target="chartsheets/sheet3.xml"/><Relationship Id="rId17" Type="http://schemas.openxmlformats.org/officeDocument/2006/relationships/worksheet" Target="worksheets/sheet14.xml"/><Relationship Id="rId18" Type="http://schemas.openxmlformats.org/officeDocument/2006/relationships/chartsheet" Target="chartsheets/sheet4.xml"/><Relationship Id="rId19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IPO vs S&amp;P 500 since May 2003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IPO</c:v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Data!$B$4:$B$721</c:f>
              <c:numCache>
                <c:formatCode>m/d/yy</c:formatCode>
                <c:ptCount val="718"/>
                <c:pt idx="0">
                  <c:v>37750.0</c:v>
                </c:pt>
                <c:pt idx="1">
                  <c:v>37757.0</c:v>
                </c:pt>
                <c:pt idx="2">
                  <c:v>37764.0</c:v>
                </c:pt>
                <c:pt idx="3">
                  <c:v>37771.0</c:v>
                </c:pt>
                <c:pt idx="4">
                  <c:v>37778.0</c:v>
                </c:pt>
                <c:pt idx="5">
                  <c:v>37785.0</c:v>
                </c:pt>
                <c:pt idx="6">
                  <c:v>37792.0</c:v>
                </c:pt>
                <c:pt idx="7">
                  <c:v>37799.0</c:v>
                </c:pt>
                <c:pt idx="8">
                  <c:v>37806.0</c:v>
                </c:pt>
                <c:pt idx="9">
                  <c:v>37813.0</c:v>
                </c:pt>
                <c:pt idx="10">
                  <c:v>37820.0</c:v>
                </c:pt>
                <c:pt idx="11">
                  <c:v>37827.0</c:v>
                </c:pt>
                <c:pt idx="12">
                  <c:v>37834.0</c:v>
                </c:pt>
                <c:pt idx="13">
                  <c:v>37841.0</c:v>
                </c:pt>
                <c:pt idx="14">
                  <c:v>37848.0</c:v>
                </c:pt>
                <c:pt idx="15">
                  <c:v>37855.0</c:v>
                </c:pt>
                <c:pt idx="16">
                  <c:v>37862.0</c:v>
                </c:pt>
                <c:pt idx="17">
                  <c:v>37869.0</c:v>
                </c:pt>
                <c:pt idx="18">
                  <c:v>37876.0</c:v>
                </c:pt>
                <c:pt idx="19">
                  <c:v>37883.0</c:v>
                </c:pt>
                <c:pt idx="20">
                  <c:v>37890.0</c:v>
                </c:pt>
                <c:pt idx="21">
                  <c:v>37897.0</c:v>
                </c:pt>
                <c:pt idx="22">
                  <c:v>37904.0</c:v>
                </c:pt>
                <c:pt idx="23">
                  <c:v>37911.0</c:v>
                </c:pt>
                <c:pt idx="24">
                  <c:v>37918.0</c:v>
                </c:pt>
                <c:pt idx="25">
                  <c:v>37925.0</c:v>
                </c:pt>
                <c:pt idx="26">
                  <c:v>37932.0</c:v>
                </c:pt>
                <c:pt idx="27">
                  <c:v>37939.0</c:v>
                </c:pt>
                <c:pt idx="28">
                  <c:v>37946.0</c:v>
                </c:pt>
                <c:pt idx="29">
                  <c:v>37953.0</c:v>
                </c:pt>
                <c:pt idx="30">
                  <c:v>37960.0</c:v>
                </c:pt>
                <c:pt idx="31">
                  <c:v>37967.0</c:v>
                </c:pt>
                <c:pt idx="32">
                  <c:v>37974.0</c:v>
                </c:pt>
                <c:pt idx="33">
                  <c:v>37981.0</c:v>
                </c:pt>
                <c:pt idx="34">
                  <c:v>37988.0</c:v>
                </c:pt>
                <c:pt idx="35">
                  <c:v>37995.0</c:v>
                </c:pt>
                <c:pt idx="36">
                  <c:v>38002.0</c:v>
                </c:pt>
                <c:pt idx="37">
                  <c:v>38009.0</c:v>
                </c:pt>
                <c:pt idx="38">
                  <c:v>38016.0</c:v>
                </c:pt>
                <c:pt idx="39">
                  <c:v>38023.0</c:v>
                </c:pt>
                <c:pt idx="40">
                  <c:v>38030.0</c:v>
                </c:pt>
                <c:pt idx="41">
                  <c:v>38037.0</c:v>
                </c:pt>
                <c:pt idx="42">
                  <c:v>38044.0</c:v>
                </c:pt>
                <c:pt idx="43">
                  <c:v>38051.0</c:v>
                </c:pt>
                <c:pt idx="44">
                  <c:v>38058.0</c:v>
                </c:pt>
                <c:pt idx="45">
                  <c:v>38065.0</c:v>
                </c:pt>
                <c:pt idx="46">
                  <c:v>38072.0</c:v>
                </c:pt>
                <c:pt idx="47">
                  <c:v>38079.0</c:v>
                </c:pt>
                <c:pt idx="48">
                  <c:v>38086.0</c:v>
                </c:pt>
                <c:pt idx="49">
                  <c:v>38093.0</c:v>
                </c:pt>
                <c:pt idx="50">
                  <c:v>38100.0</c:v>
                </c:pt>
                <c:pt idx="51">
                  <c:v>38107.0</c:v>
                </c:pt>
                <c:pt idx="52">
                  <c:v>38114.0</c:v>
                </c:pt>
                <c:pt idx="53">
                  <c:v>38121.0</c:v>
                </c:pt>
                <c:pt idx="54">
                  <c:v>38128.0</c:v>
                </c:pt>
                <c:pt idx="55">
                  <c:v>38135.0</c:v>
                </c:pt>
                <c:pt idx="56">
                  <c:v>38142.0</c:v>
                </c:pt>
                <c:pt idx="57">
                  <c:v>38149.0</c:v>
                </c:pt>
                <c:pt idx="58">
                  <c:v>38156.0</c:v>
                </c:pt>
                <c:pt idx="59">
                  <c:v>38163.0</c:v>
                </c:pt>
                <c:pt idx="60">
                  <c:v>38170.0</c:v>
                </c:pt>
                <c:pt idx="61">
                  <c:v>38177.0</c:v>
                </c:pt>
                <c:pt idx="62">
                  <c:v>38184.0</c:v>
                </c:pt>
                <c:pt idx="63">
                  <c:v>38191.0</c:v>
                </c:pt>
                <c:pt idx="64">
                  <c:v>38198.0</c:v>
                </c:pt>
                <c:pt idx="65">
                  <c:v>38205.0</c:v>
                </c:pt>
                <c:pt idx="66">
                  <c:v>38212.0</c:v>
                </c:pt>
                <c:pt idx="67">
                  <c:v>38219.0</c:v>
                </c:pt>
                <c:pt idx="68">
                  <c:v>38226.0</c:v>
                </c:pt>
                <c:pt idx="69">
                  <c:v>38233.0</c:v>
                </c:pt>
                <c:pt idx="70">
                  <c:v>38240.0</c:v>
                </c:pt>
                <c:pt idx="71">
                  <c:v>38247.0</c:v>
                </c:pt>
                <c:pt idx="72">
                  <c:v>38254.0</c:v>
                </c:pt>
                <c:pt idx="73">
                  <c:v>38261.0</c:v>
                </c:pt>
                <c:pt idx="74">
                  <c:v>38268.0</c:v>
                </c:pt>
                <c:pt idx="75">
                  <c:v>38275.0</c:v>
                </c:pt>
                <c:pt idx="76">
                  <c:v>38282.0</c:v>
                </c:pt>
                <c:pt idx="77">
                  <c:v>38289.0</c:v>
                </c:pt>
                <c:pt idx="78">
                  <c:v>38296.0</c:v>
                </c:pt>
                <c:pt idx="79">
                  <c:v>38303.0</c:v>
                </c:pt>
                <c:pt idx="80">
                  <c:v>38310.0</c:v>
                </c:pt>
                <c:pt idx="81">
                  <c:v>38317.0</c:v>
                </c:pt>
                <c:pt idx="82">
                  <c:v>38324.0</c:v>
                </c:pt>
                <c:pt idx="83">
                  <c:v>38331.0</c:v>
                </c:pt>
                <c:pt idx="84">
                  <c:v>38338.0</c:v>
                </c:pt>
                <c:pt idx="85">
                  <c:v>38345.0</c:v>
                </c:pt>
                <c:pt idx="86">
                  <c:v>38352.0</c:v>
                </c:pt>
                <c:pt idx="87">
                  <c:v>38359.0</c:v>
                </c:pt>
                <c:pt idx="88">
                  <c:v>38366.0</c:v>
                </c:pt>
                <c:pt idx="89">
                  <c:v>38373.0</c:v>
                </c:pt>
                <c:pt idx="90">
                  <c:v>38380.0</c:v>
                </c:pt>
                <c:pt idx="91">
                  <c:v>38387.0</c:v>
                </c:pt>
                <c:pt idx="92">
                  <c:v>38394.0</c:v>
                </c:pt>
                <c:pt idx="93">
                  <c:v>38401.0</c:v>
                </c:pt>
                <c:pt idx="94">
                  <c:v>38408.0</c:v>
                </c:pt>
                <c:pt idx="95">
                  <c:v>38415.0</c:v>
                </c:pt>
                <c:pt idx="96">
                  <c:v>38422.0</c:v>
                </c:pt>
                <c:pt idx="97">
                  <c:v>38429.0</c:v>
                </c:pt>
                <c:pt idx="98">
                  <c:v>38436.0</c:v>
                </c:pt>
                <c:pt idx="99">
                  <c:v>38443.0</c:v>
                </c:pt>
                <c:pt idx="100">
                  <c:v>38450.0</c:v>
                </c:pt>
                <c:pt idx="101">
                  <c:v>38457.0</c:v>
                </c:pt>
                <c:pt idx="102">
                  <c:v>38464.0</c:v>
                </c:pt>
                <c:pt idx="103">
                  <c:v>38471.0</c:v>
                </c:pt>
                <c:pt idx="104">
                  <c:v>38478.0</c:v>
                </c:pt>
                <c:pt idx="105">
                  <c:v>38485.0</c:v>
                </c:pt>
                <c:pt idx="106">
                  <c:v>38492.0</c:v>
                </c:pt>
                <c:pt idx="107">
                  <c:v>38499.0</c:v>
                </c:pt>
                <c:pt idx="108">
                  <c:v>38506.0</c:v>
                </c:pt>
                <c:pt idx="109">
                  <c:v>38513.0</c:v>
                </c:pt>
                <c:pt idx="110">
                  <c:v>38520.0</c:v>
                </c:pt>
                <c:pt idx="111">
                  <c:v>38527.0</c:v>
                </c:pt>
                <c:pt idx="112">
                  <c:v>38534.0</c:v>
                </c:pt>
                <c:pt idx="113">
                  <c:v>38541.0</c:v>
                </c:pt>
                <c:pt idx="114">
                  <c:v>38548.0</c:v>
                </c:pt>
                <c:pt idx="115">
                  <c:v>38555.0</c:v>
                </c:pt>
                <c:pt idx="116">
                  <c:v>38562.0</c:v>
                </c:pt>
                <c:pt idx="117">
                  <c:v>38569.0</c:v>
                </c:pt>
                <c:pt idx="118">
                  <c:v>38576.0</c:v>
                </c:pt>
                <c:pt idx="119">
                  <c:v>38583.0</c:v>
                </c:pt>
                <c:pt idx="120">
                  <c:v>38590.0</c:v>
                </c:pt>
                <c:pt idx="121">
                  <c:v>38597.0</c:v>
                </c:pt>
                <c:pt idx="122">
                  <c:v>38604.0</c:v>
                </c:pt>
                <c:pt idx="123">
                  <c:v>38611.0</c:v>
                </c:pt>
                <c:pt idx="124">
                  <c:v>38618.0</c:v>
                </c:pt>
                <c:pt idx="125">
                  <c:v>38625.0</c:v>
                </c:pt>
                <c:pt idx="126">
                  <c:v>38632.0</c:v>
                </c:pt>
                <c:pt idx="127">
                  <c:v>38639.0</c:v>
                </c:pt>
                <c:pt idx="128">
                  <c:v>38646.0</c:v>
                </c:pt>
                <c:pt idx="129">
                  <c:v>38653.0</c:v>
                </c:pt>
                <c:pt idx="130">
                  <c:v>38660.0</c:v>
                </c:pt>
                <c:pt idx="131">
                  <c:v>38667.0</c:v>
                </c:pt>
                <c:pt idx="132">
                  <c:v>38674.0</c:v>
                </c:pt>
                <c:pt idx="133">
                  <c:v>38681.0</c:v>
                </c:pt>
                <c:pt idx="134">
                  <c:v>38688.0</c:v>
                </c:pt>
                <c:pt idx="135">
                  <c:v>38695.0</c:v>
                </c:pt>
                <c:pt idx="136">
                  <c:v>38702.0</c:v>
                </c:pt>
                <c:pt idx="137">
                  <c:v>38709.0</c:v>
                </c:pt>
                <c:pt idx="138">
                  <c:v>38716.0</c:v>
                </c:pt>
                <c:pt idx="139">
                  <c:v>38723.0</c:v>
                </c:pt>
                <c:pt idx="140">
                  <c:v>38730.0</c:v>
                </c:pt>
                <c:pt idx="141">
                  <c:v>38737.0</c:v>
                </c:pt>
                <c:pt idx="142">
                  <c:v>38744.0</c:v>
                </c:pt>
                <c:pt idx="143">
                  <c:v>38751.0</c:v>
                </c:pt>
                <c:pt idx="144">
                  <c:v>38758.0</c:v>
                </c:pt>
                <c:pt idx="145">
                  <c:v>38765.0</c:v>
                </c:pt>
                <c:pt idx="146">
                  <c:v>38772.0</c:v>
                </c:pt>
                <c:pt idx="147">
                  <c:v>38779.0</c:v>
                </c:pt>
                <c:pt idx="148">
                  <c:v>38786.0</c:v>
                </c:pt>
                <c:pt idx="149">
                  <c:v>38793.0</c:v>
                </c:pt>
                <c:pt idx="150">
                  <c:v>38800.0</c:v>
                </c:pt>
                <c:pt idx="151">
                  <c:v>38807.0</c:v>
                </c:pt>
                <c:pt idx="152">
                  <c:v>38814.0</c:v>
                </c:pt>
                <c:pt idx="153">
                  <c:v>38821.0</c:v>
                </c:pt>
                <c:pt idx="154">
                  <c:v>38828.0</c:v>
                </c:pt>
                <c:pt idx="155">
                  <c:v>38835.0</c:v>
                </c:pt>
                <c:pt idx="156">
                  <c:v>38842.0</c:v>
                </c:pt>
                <c:pt idx="157">
                  <c:v>38849.0</c:v>
                </c:pt>
                <c:pt idx="158">
                  <c:v>38856.0</c:v>
                </c:pt>
                <c:pt idx="159">
                  <c:v>38863.0</c:v>
                </c:pt>
                <c:pt idx="160">
                  <c:v>38870.0</c:v>
                </c:pt>
                <c:pt idx="161">
                  <c:v>38877.0</c:v>
                </c:pt>
                <c:pt idx="162">
                  <c:v>38884.0</c:v>
                </c:pt>
                <c:pt idx="163">
                  <c:v>38891.0</c:v>
                </c:pt>
                <c:pt idx="164">
                  <c:v>38898.0</c:v>
                </c:pt>
                <c:pt idx="165">
                  <c:v>38905.0</c:v>
                </c:pt>
                <c:pt idx="166">
                  <c:v>38912.0</c:v>
                </c:pt>
                <c:pt idx="167">
                  <c:v>38919.0</c:v>
                </c:pt>
                <c:pt idx="168">
                  <c:v>38926.0</c:v>
                </c:pt>
                <c:pt idx="169">
                  <c:v>38933.0</c:v>
                </c:pt>
                <c:pt idx="170">
                  <c:v>38940.0</c:v>
                </c:pt>
                <c:pt idx="171">
                  <c:v>38947.0</c:v>
                </c:pt>
                <c:pt idx="172">
                  <c:v>38954.0</c:v>
                </c:pt>
                <c:pt idx="173">
                  <c:v>38961.0</c:v>
                </c:pt>
                <c:pt idx="174">
                  <c:v>38968.0</c:v>
                </c:pt>
                <c:pt idx="175">
                  <c:v>38975.0</c:v>
                </c:pt>
                <c:pt idx="176">
                  <c:v>38982.0</c:v>
                </c:pt>
                <c:pt idx="177">
                  <c:v>38989.0</c:v>
                </c:pt>
                <c:pt idx="178">
                  <c:v>38996.0</c:v>
                </c:pt>
                <c:pt idx="179">
                  <c:v>39003.0</c:v>
                </c:pt>
                <c:pt idx="180">
                  <c:v>39010.0</c:v>
                </c:pt>
                <c:pt idx="181">
                  <c:v>39017.0</c:v>
                </c:pt>
                <c:pt idx="182">
                  <c:v>39024.0</c:v>
                </c:pt>
                <c:pt idx="183">
                  <c:v>39031.0</c:v>
                </c:pt>
                <c:pt idx="184">
                  <c:v>39038.0</c:v>
                </c:pt>
                <c:pt idx="185">
                  <c:v>39045.0</c:v>
                </c:pt>
                <c:pt idx="186">
                  <c:v>39052.0</c:v>
                </c:pt>
                <c:pt idx="187">
                  <c:v>39059.0</c:v>
                </c:pt>
                <c:pt idx="188">
                  <c:v>39066.0</c:v>
                </c:pt>
                <c:pt idx="189">
                  <c:v>39073.0</c:v>
                </c:pt>
                <c:pt idx="190">
                  <c:v>39080.0</c:v>
                </c:pt>
                <c:pt idx="191">
                  <c:v>39087.0</c:v>
                </c:pt>
                <c:pt idx="192">
                  <c:v>39094.0</c:v>
                </c:pt>
                <c:pt idx="193">
                  <c:v>39101.0</c:v>
                </c:pt>
                <c:pt idx="194">
                  <c:v>39108.0</c:v>
                </c:pt>
                <c:pt idx="195">
                  <c:v>39115.0</c:v>
                </c:pt>
                <c:pt idx="196">
                  <c:v>39122.0</c:v>
                </c:pt>
                <c:pt idx="197">
                  <c:v>39129.0</c:v>
                </c:pt>
                <c:pt idx="198">
                  <c:v>39136.0</c:v>
                </c:pt>
                <c:pt idx="199">
                  <c:v>39143.0</c:v>
                </c:pt>
                <c:pt idx="200">
                  <c:v>39150.0</c:v>
                </c:pt>
                <c:pt idx="201">
                  <c:v>39157.0</c:v>
                </c:pt>
                <c:pt idx="202">
                  <c:v>39164.0</c:v>
                </c:pt>
                <c:pt idx="203">
                  <c:v>39171.0</c:v>
                </c:pt>
                <c:pt idx="204">
                  <c:v>39178.0</c:v>
                </c:pt>
                <c:pt idx="205">
                  <c:v>39185.0</c:v>
                </c:pt>
                <c:pt idx="206">
                  <c:v>39192.0</c:v>
                </c:pt>
                <c:pt idx="207">
                  <c:v>39199.0</c:v>
                </c:pt>
                <c:pt idx="208">
                  <c:v>39206.0</c:v>
                </c:pt>
                <c:pt idx="209">
                  <c:v>39213.0</c:v>
                </c:pt>
                <c:pt idx="210">
                  <c:v>39220.0</c:v>
                </c:pt>
                <c:pt idx="211">
                  <c:v>39227.0</c:v>
                </c:pt>
                <c:pt idx="212">
                  <c:v>39234.0</c:v>
                </c:pt>
                <c:pt idx="213">
                  <c:v>39241.0</c:v>
                </c:pt>
                <c:pt idx="214">
                  <c:v>39248.0</c:v>
                </c:pt>
                <c:pt idx="215">
                  <c:v>39255.0</c:v>
                </c:pt>
                <c:pt idx="216">
                  <c:v>39262.0</c:v>
                </c:pt>
                <c:pt idx="217">
                  <c:v>39269.0</c:v>
                </c:pt>
                <c:pt idx="218">
                  <c:v>39276.0</c:v>
                </c:pt>
                <c:pt idx="219">
                  <c:v>39283.0</c:v>
                </c:pt>
                <c:pt idx="220">
                  <c:v>39290.0</c:v>
                </c:pt>
                <c:pt idx="221">
                  <c:v>39297.0</c:v>
                </c:pt>
                <c:pt idx="222">
                  <c:v>39304.0</c:v>
                </c:pt>
                <c:pt idx="223">
                  <c:v>39311.0</c:v>
                </c:pt>
                <c:pt idx="224">
                  <c:v>39318.0</c:v>
                </c:pt>
                <c:pt idx="225">
                  <c:v>39325.0</c:v>
                </c:pt>
                <c:pt idx="226">
                  <c:v>39332.0</c:v>
                </c:pt>
                <c:pt idx="227">
                  <c:v>39339.0</c:v>
                </c:pt>
                <c:pt idx="228">
                  <c:v>39346.0</c:v>
                </c:pt>
                <c:pt idx="229">
                  <c:v>39353.0</c:v>
                </c:pt>
                <c:pt idx="230">
                  <c:v>39360.0</c:v>
                </c:pt>
                <c:pt idx="231">
                  <c:v>39367.0</c:v>
                </c:pt>
                <c:pt idx="232">
                  <c:v>39374.0</c:v>
                </c:pt>
                <c:pt idx="233">
                  <c:v>39381.0</c:v>
                </c:pt>
                <c:pt idx="234">
                  <c:v>39388.0</c:v>
                </c:pt>
                <c:pt idx="235">
                  <c:v>39405.0</c:v>
                </c:pt>
                <c:pt idx="236">
                  <c:v>39417.0</c:v>
                </c:pt>
                <c:pt idx="237">
                  <c:v>39438.0</c:v>
                </c:pt>
                <c:pt idx="238">
                  <c:v>39452.0</c:v>
                </c:pt>
                <c:pt idx="239">
                  <c:v>39459.0</c:v>
                </c:pt>
                <c:pt idx="240">
                  <c:v>39466.0</c:v>
                </c:pt>
                <c:pt idx="241">
                  <c:v>39480.0</c:v>
                </c:pt>
                <c:pt idx="242">
                  <c:v>39487.0</c:v>
                </c:pt>
                <c:pt idx="243">
                  <c:v>39496.0</c:v>
                </c:pt>
                <c:pt idx="244">
                  <c:v>39503.0</c:v>
                </c:pt>
                <c:pt idx="245">
                  <c:v>39510.0</c:v>
                </c:pt>
                <c:pt idx="246">
                  <c:v>39517.0</c:v>
                </c:pt>
                <c:pt idx="247">
                  <c:v>39531.0</c:v>
                </c:pt>
                <c:pt idx="248">
                  <c:v>39538.0</c:v>
                </c:pt>
                <c:pt idx="249">
                  <c:v>39549.0</c:v>
                </c:pt>
                <c:pt idx="250">
                  <c:v>39556.0</c:v>
                </c:pt>
                <c:pt idx="251">
                  <c:v>39571.0</c:v>
                </c:pt>
                <c:pt idx="252">
                  <c:v>39585.0</c:v>
                </c:pt>
                <c:pt idx="253">
                  <c:v>39592.0</c:v>
                </c:pt>
                <c:pt idx="254">
                  <c:v>39599.0</c:v>
                </c:pt>
                <c:pt idx="255">
                  <c:v>39606.0</c:v>
                </c:pt>
                <c:pt idx="256">
                  <c:v>39620.0</c:v>
                </c:pt>
                <c:pt idx="257">
                  <c:v>39639.0</c:v>
                </c:pt>
                <c:pt idx="258">
                  <c:v>39646.0</c:v>
                </c:pt>
                <c:pt idx="259">
                  <c:v>39653.0</c:v>
                </c:pt>
                <c:pt idx="260">
                  <c:v>39660.0</c:v>
                </c:pt>
                <c:pt idx="261">
                  <c:v>39667.0</c:v>
                </c:pt>
                <c:pt idx="262">
                  <c:v>39674.0</c:v>
                </c:pt>
                <c:pt idx="263">
                  <c:v>39681.0</c:v>
                </c:pt>
                <c:pt idx="264">
                  <c:v>39688.0</c:v>
                </c:pt>
                <c:pt idx="265">
                  <c:v>39695.0</c:v>
                </c:pt>
                <c:pt idx="266">
                  <c:v>39702.0</c:v>
                </c:pt>
                <c:pt idx="267">
                  <c:v>39709.0</c:v>
                </c:pt>
                <c:pt idx="268">
                  <c:v>39716.0</c:v>
                </c:pt>
                <c:pt idx="269">
                  <c:v>39723.0</c:v>
                </c:pt>
                <c:pt idx="270">
                  <c:v>39730.0</c:v>
                </c:pt>
                <c:pt idx="271">
                  <c:v>39737.0</c:v>
                </c:pt>
                <c:pt idx="272">
                  <c:v>39744.0</c:v>
                </c:pt>
                <c:pt idx="273">
                  <c:v>39751.0</c:v>
                </c:pt>
                <c:pt idx="274">
                  <c:v>39758.0</c:v>
                </c:pt>
                <c:pt idx="275">
                  <c:v>39765.0</c:v>
                </c:pt>
                <c:pt idx="276">
                  <c:v>39772.0</c:v>
                </c:pt>
                <c:pt idx="277">
                  <c:v>39779.0</c:v>
                </c:pt>
                <c:pt idx="278">
                  <c:v>39786.0</c:v>
                </c:pt>
                <c:pt idx="279">
                  <c:v>39793.0</c:v>
                </c:pt>
                <c:pt idx="280">
                  <c:v>39800.0</c:v>
                </c:pt>
                <c:pt idx="281">
                  <c:v>39807.0</c:v>
                </c:pt>
                <c:pt idx="282">
                  <c:v>39814.0</c:v>
                </c:pt>
                <c:pt idx="283">
                  <c:v>39821.0</c:v>
                </c:pt>
                <c:pt idx="284">
                  <c:v>39828.0</c:v>
                </c:pt>
                <c:pt idx="285">
                  <c:v>39835.0</c:v>
                </c:pt>
                <c:pt idx="286">
                  <c:v>39842.0</c:v>
                </c:pt>
                <c:pt idx="287">
                  <c:v>39849.0</c:v>
                </c:pt>
                <c:pt idx="288">
                  <c:v>39856.0</c:v>
                </c:pt>
                <c:pt idx="289">
                  <c:v>39863.0</c:v>
                </c:pt>
                <c:pt idx="290">
                  <c:v>39870.0</c:v>
                </c:pt>
                <c:pt idx="291">
                  <c:v>39877.0</c:v>
                </c:pt>
                <c:pt idx="292">
                  <c:v>39884.0</c:v>
                </c:pt>
                <c:pt idx="293">
                  <c:v>39891.0</c:v>
                </c:pt>
                <c:pt idx="294">
                  <c:v>39898.0</c:v>
                </c:pt>
                <c:pt idx="295">
                  <c:v>39905.0</c:v>
                </c:pt>
                <c:pt idx="296">
                  <c:v>39912.0</c:v>
                </c:pt>
                <c:pt idx="297">
                  <c:v>39919.0</c:v>
                </c:pt>
                <c:pt idx="298">
                  <c:v>39926.0</c:v>
                </c:pt>
                <c:pt idx="299">
                  <c:v>39933.0</c:v>
                </c:pt>
                <c:pt idx="300">
                  <c:v>39940.0</c:v>
                </c:pt>
                <c:pt idx="301">
                  <c:v>39947.0</c:v>
                </c:pt>
                <c:pt idx="302">
                  <c:v>39954.0</c:v>
                </c:pt>
                <c:pt idx="303">
                  <c:v>39961.0</c:v>
                </c:pt>
                <c:pt idx="304">
                  <c:v>39968.0</c:v>
                </c:pt>
                <c:pt idx="305">
                  <c:v>39975.0</c:v>
                </c:pt>
                <c:pt idx="306">
                  <c:v>39982.0</c:v>
                </c:pt>
                <c:pt idx="307">
                  <c:v>39989.0</c:v>
                </c:pt>
                <c:pt idx="308">
                  <c:v>39996.0</c:v>
                </c:pt>
                <c:pt idx="309">
                  <c:v>40003.0</c:v>
                </c:pt>
                <c:pt idx="310">
                  <c:v>40010.0</c:v>
                </c:pt>
                <c:pt idx="311">
                  <c:v>40017.0</c:v>
                </c:pt>
                <c:pt idx="312">
                  <c:v>40024.0</c:v>
                </c:pt>
                <c:pt idx="313">
                  <c:v>40031.0</c:v>
                </c:pt>
                <c:pt idx="314">
                  <c:v>40038.0</c:v>
                </c:pt>
                <c:pt idx="315">
                  <c:v>40045.0</c:v>
                </c:pt>
                <c:pt idx="316">
                  <c:v>40052.0</c:v>
                </c:pt>
                <c:pt idx="317">
                  <c:v>40059.0</c:v>
                </c:pt>
                <c:pt idx="318">
                  <c:v>40066.0</c:v>
                </c:pt>
                <c:pt idx="319">
                  <c:v>40073.0</c:v>
                </c:pt>
                <c:pt idx="320">
                  <c:v>40080.0</c:v>
                </c:pt>
                <c:pt idx="321">
                  <c:v>40087.0</c:v>
                </c:pt>
                <c:pt idx="322">
                  <c:v>40094.0</c:v>
                </c:pt>
                <c:pt idx="323">
                  <c:v>40101.0</c:v>
                </c:pt>
                <c:pt idx="324">
                  <c:v>40108.0</c:v>
                </c:pt>
                <c:pt idx="325">
                  <c:v>40115.0</c:v>
                </c:pt>
                <c:pt idx="326">
                  <c:v>40122.0</c:v>
                </c:pt>
                <c:pt idx="327">
                  <c:v>40129.0</c:v>
                </c:pt>
                <c:pt idx="328">
                  <c:v>40136.0</c:v>
                </c:pt>
                <c:pt idx="329">
                  <c:v>40143.0</c:v>
                </c:pt>
                <c:pt idx="330">
                  <c:v>40150.0</c:v>
                </c:pt>
                <c:pt idx="331">
                  <c:v>40157.0</c:v>
                </c:pt>
                <c:pt idx="332">
                  <c:v>40164.0</c:v>
                </c:pt>
                <c:pt idx="333">
                  <c:v>40171.0</c:v>
                </c:pt>
                <c:pt idx="334">
                  <c:v>40178.0</c:v>
                </c:pt>
                <c:pt idx="335">
                  <c:v>40185.0</c:v>
                </c:pt>
                <c:pt idx="336">
                  <c:v>40192.0</c:v>
                </c:pt>
                <c:pt idx="337">
                  <c:v>40199.0</c:v>
                </c:pt>
                <c:pt idx="338">
                  <c:v>40206.0</c:v>
                </c:pt>
                <c:pt idx="339">
                  <c:v>40213.0</c:v>
                </c:pt>
                <c:pt idx="340">
                  <c:v>40220.0</c:v>
                </c:pt>
                <c:pt idx="341">
                  <c:v>40227.0</c:v>
                </c:pt>
                <c:pt idx="342">
                  <c:v>40234.0</c:v>
                </c:pt>
                <c:pt idx="343">
                  <c:v>40241.0</c:v>
                </c:pt>
                <c:pt idx="344">
                  <c:v>40248.0</c:v>
                </c:pt>
                <c:pt idx="345">
                  <c:v>40255.0</c:v>
                </c:pt>
                <c:pt idx="346">
                  <c:v>40262.0</c:v>
                </c:pt>
                <c:pt idx="347">
                  <c:v>40269.0</c:v>
                </c:pt>
                <c:pt idx="348">
                  <c:v>40276.0</c:v>
                </c:pt>
                <c:pt idx="349">
                  <c:v>40283.0</c:v>
                </c:pt>
                <c:pt idx="350">
                  <c:v>40290.0</c:v>
                </c:pt>
                <c:pt idx="351">
                  <c:v>40297.0</c:v>
                </c:pt>
                <c:pt idx="352">
                  <c:v>40304.0</c:v>
                </c:pt>
                <c:pt idx="353">
                  <c:v>40311.0</c:v>
                </c:pt>
                <c:pt idx="354">
                  <c:v>40318.0</c:v>
                </c:pt>
                <c:pt idx="355">
                  <c:v>40325.0</c:v>
                </c:pt>
                <c:pt idx="356">
                  <c:v>40332.0</c:v>
                </c:pt>
                <c:pt idx="357">
                  <c:v>40339.0</c:v>
                </c:pt>
                <c:pt idx="358">
                  <c:v>40346.0</c:v>
                </c:pt>
                <c:pt idx="359">
                  <c:v>40353.0</c:v>
                </c:pt>
                <c:pt idx="360">
                  <c:v>40360.0</c:v>
                </c:pt>
                <c:pt idx="361">
                  <c:v>40367.0</c:v>
                </c:pt>
                <c:pt idx="362">
                  <c:v>40374.0</c:v>
                </c:pt>
                <c:pt idx="363">
                  <c:v>40381.0</c:v>
                </c:pt>
                <c:pt idx="364">
                  <c:v>40388.0</c:v>
                </c:pt>
                <c:pt idx="365">
                  <c:v>40395.0</c:v>
                </c:pt>
                <c:pt idx="366">
                  <c:v>40402.0</c:v>
                </c:pt>
                <c:pt idx="367">
                  <c:v>40409.0</c:v>
                </c:pt>
                <c:pt idx="368">
                  <c:v>40416.0</c:v>
                </c:pt>
                <c:pt idx="369">
                  <c:v>40423.0</c:v>
                </c:pt>
                <c:pt idx="370">
                  <c:v>40430.0</c:v>
                </c:pt>
                <c:pt idx="371">
                  <c:v>40437.0</c:v>
                </c:pt>
                <c:pt idx="372">
                  <c:v>40444.0</c:v>
                </c:pt>
                <c:pt idx="373">
                  <c:v>40451.0</c:v>
                </c:pt>
                <c:pt idx="374">
                  <c:v>40458.0</c:v>
                </c:pt>
                <c:pt idx="375">
                  <c:v>40465.0</c:v>
                </c:pt>
                <c:pt idx="376">
                  <c:v>40472.0</c:v>
                </c:pt>
                <c:pt idx="377">
                  <c:v>40479.0</c:v>
                </c:pt>
                <c:pt idx="378">
                  <c:v>40486.0</c:v>
                </c:pt>
                <c:pt idx="379">
                  <c:v>40493.0</c:v>
                </c:pt>
                <c:pt idx="380">
                  <c:v>40500.0</c:v>
                </c:pt>
                <c:pt idx="381">
                  <c:v>40507.0</c:v>
                </c:pt>
                <c:pt idx="382">
                  <c:v>40514.0</c:v>
                </c:pt>
                <c:pt idx="383">
                  <c:v>40521.0</c:v>
                </c:pt>
                <c:pt idx="384">
                  <c:v>40528.0</c:v>
                </c:pt>
                <c:pt idx="385">
                  <c:v>40535.0</c:v>
                </c:pt>
                <c:pt idx="386">
                  <c:v>40542.0</c:v>
                </c:pt>
                <c:pt idx="387">
                  <c:v>40549.0</c:v>
                </c:pt>
                <c:pt idx="388">
                  <c:v>40556.0</c:v>
                </c:pt>
                <c:pt idx="389">
                  <c:v>40563.0</c:v>
                </c:pt>
                <c:pt idx="390">
                  <c:v>40570.0</c:v>
                </c:pt>
                <c:pt idx="391">
                  <c:v>40577.0</c:v>
                </c:pt>
                <c:pt idx="392">
                  <c:v>40584.0</c:v>
                </c:pt>
                <c:pt idx="393">
                  <c:v>40591.0</c:v>
                </c:pt>
                <c:pt idx="394">
                  <c:v>40598.0</c:v>
                </c:pt>
                <c:pt idx="395">
                  <c:v>40605.0</c:v>
                </c:pt>
                <c:pt idx="396">
                  <c:v>40612.0</c:v>
                </c:pt>
                <c:pt idx="397">
                  <c:v>40619.0</c:v>
                </c:pt>
                <c:pt idx="398">
                  <c:v>40626.0</c:v>
                </c:pt>
                <c:pt idx="399">
                  <c:v>40633.0</c:v>
                </c:pt>
                <c:pt idx="400">
                  <c:v>40640.0</c:v>
                </c:pt>
                <c:pt idx="401">
                  <c:v>40647.0</c:v>
                </c:pt>
                <c:pt idx="402">
                  <c:v>40654.0</c:v>
                </c:pt>
                <c:pt idx="403">
                  <c:v>40661.0</c:v>
                </c:pt>
                <c:pt idx="404">
                  <c:v>40668.0</c:v>
                </c:pt>
                <c:pt idx="405">
                  <c:v>40675.0</c:v>
                </c:pt>
                <c:pt idx="406">
                  <c:v>40682.0</c:v>
                </c:pt>
                <c:pt idx="407">
                  <c:v>40689.0</c:v>
                </c:pt>
                <c:pt idx="408">
                  <c:v>40696.0</c:v>
                </c:pt>
                <c:pt idx="409">
                  <c:v>40703.0</c:v>
                </c:pt>
                <c:pt idx="410">
                  <c:v>40710.0</c:v>
                </c:pt>
                <c:pt idx="411">
                  <c:v>40717.0</c:v>
                </c:pt>
                <c:pt idx="412">
                  <c:v>40724.0</c:v>
                </c:pt>
                <c:pt idx="413">
                  <c:v>40731.0</c:v>
                </c:pt>
                <c:pt idx="414">
                  <c:v>40738.0</c:v>
                </c:pt>
                <c:pt idx="415">
                  <c:v>40745.0</c:v>
                </c:pt>
                <c:pt idx="416">
                  <c:v>40752.0</c:v>
                </c:pt>
                <c:pt idx="417">
                  <c:v>40759.0</c:v>
                </c:pt>
                <c:pt idx="418">
                  <c:v>40766.0</c:v>
                </c:pt>
                <c:pt idx="419">
                  <c:v>40773.0</c:v>
                </c:pt>
                <c:pt idx="420">
                  <c:v>40780.0</c:v>
                </c:pt>
                <c:pt idx="421">
                  <c:v>40787.0</c:v>
                </c:pt>
                <c:pt idx="422">
                  <c:v>40794.0</c:v>
                </c:pt>
                <c:pt idx="423">
                  <c:v>40801.0</c:v>
                </c:pt>
                <c:pt idx="424">
                  <c:v>40808.0</c:v>
                </c:pt>
                <c:pt idx="425">
                  <c:v>40815.0</c:v>
                </c:pt>
                <c:pt idx="426">
                  <c:v>40822.0</c:v>
                </c:pt>
                <c:pt idx="427">
                  <c:v>40829.0</c:v>
                </c:pt>
                <c:pt idx="428">
                  <c:v>40836.0</c:v>
                </c:pt>
                <c:pt idx="429">
                  <c:v>40843.0</c:v>
                </c:pt>
                <c:pt idx="430">
                  <c:v>40850.0</c:v>
                </c:pt>
                <c:pt idx="431">
                  <c:v>40857.0</c:v>
                </c:pt>
                <c:pt idx="432">
                  <c:v>40864.0</c:v>
                </c:pt>
                <c:pt idx="433">
                  <c:v>40871.0</c:v>
                </c:pt>
                <c:pt idx="434">
                  <c:v>40878.0</c:v>
                </c:pt>
                <c:pt idx="435">
                  <c:v>40885.0</c:v>
                </c:pt>
                <c:pt idx="436">
                  <c:v>40892.0</c:v>
                </c:pt>
                <c:pt idx="437">
                  <c:v>40899.0</c:v>
                </c:pt>
                <c:pt idx="438">
                  <c:v>40906.0</c:v>
                </c:pt>
                <c:pt idx="439">
                  <c:v>40913.0</c:v>
                </c:pt>
                <c:pt idx="440">
                  <c:v>40920.0</c:v>
                </c:pt>
                <c:pt idx="441">
                  <c:v>40927.0</c:v>
                </c:pt>
                <c:pt idx="442">
                  <c:v>40934.0</c:v>
                </c:pt>
                <c:pt idx="443">
                  <c:v>40941.0</c:v>
                </c:pt>
                <c:pt idx="444">
                  <c:v>40948.0</c:v>
                </c:pt>
                <c:pt idx="445">
                  <c:v>40955.0</c:v>
                </c:pt>
                <c:pt idx="446">
                  <c:v>40962.0</c:v>
                </c:pt>
                <c:pt idx="447">
                  <c:v>40969.0</c:v>
                </c:pt>
                <c:pt idx="448">
                  <c:v>40976.0</c:v>
                </c:pt>
                <c:pt idx="449">
                  <c:v>40983.0</c:v>
                </c:pt>
                <c:pt idx="450">
                  <c:v>40990.0</c:v>
                </c:pt>
                <c:pt idx="451">
                  <c:v>40997.0</c:v>
                </c:pt>
                <c:pt idx="452">
                  <c:v>41004.0</c:v>
                </c:pt>
                <c:pt idx="453">
                  <c:v>41011.0</c:v>
                </c:pt>
                <c:pt idx="454">
                  <c:v>41018.0</c:v>
                </c:pt>
                <c:pt idx="455">
                  <c:v>41025.0</c:v>
                </c:pt>
                <c:pt idx="456">
                  <c:v>41032.0</c:v>
                </c:pt>
                <c:pt idx="457">
                  <c:v>41039.0</c:v>
                </c:pt>
                <c:pt idx="458">
                  <c:v>41046.0</c:v>
                </c:pt>
                <c:pt idx="459">
                  <c:v>41053.0</c:v>
                </c:pt>
                <c:pt idx="460">
                  <c:v>41060.0</c:v>
                </c:pt>
                <c:pt idx="461">
                  <c:v>41067.0</c:v>
                </c:pt>
                <c:pt idx="462">
                  <c:v>41074.0</c:v>
                </c:pt>
                <c:pt idx="463">
                  <c:v>41081.0</c:v>
                </c:pt>
                <c:pt idx="464">
                  <c:v>41088.0</c:v>
                </c:pt>
                <c:pt idx="465">
                  <c:v>41095.0</c:v>
                </c:pt>
                <c:pt idx="466">
                  <c:v>41102.0</c:v>
                </c:pt>
                <c:pt idx="467">
                  <c:v>41109.0</c:v>
                </c:pt>
                <c:pt idx="468">
                  <c:v>41116.0</c:v>
                </c:pt>
                <c:pt idx="469">
                  <c:v>41123.0</c:v>
                </c:pt>
                <c:pt idx="470">
                  <c:v>41130.0</c:v>
                </c:pt>
                <c:pt idx="471">
                  <c:v>41137.0</c:v>
                </c:pt>
                <c:pt idx="472">
                  <c:v>41144.0</c:v>
                </c:pt>
                <c:pt idx="473">
                  <c:v>41151.0</c:v>
                </c:pt>
                <c:pt idx="474">
                  <c:v>41158.0</c:v>
                </c:pt>
                <c:pt idx="475">
                  <c:v>41165.0</c:v>
                </c:pt>
                <c:pt idx="476">
                  <c:v>41172.0</c:v>
                </c:pt>
                <c:pt idx="477">
                  <c:v>41179.0</c:v>
                </c:pt>
                <c:pt idx="478">
                  <c:v>41186.0</c:v>
                </c:pt>
                <c:pt idx="479">
                  <c:v>41193.0</c:v>
                </c:pt>
                <c:pt idx="480">
                  <c:v>41200.0</c:v>
                </c:pt>
                <c:pt idx="481">
                  <c:v>41207.0</c:v>
                </c:pt>
                <c:pt idx="482">
                  <c:v>41214.0</c:v>
                </c:pt>
                <c:pt idx="483">
                  <c:v>41221.0</c:v>
                </c:pt>
                <c:pt idx="484">
                  <c:v>41228.0</c:v>
                </c:pt>
                <c:pt idx="485">
                  <c:v>41235.0</c:v>
                </c:pt>
                <c:pt idx="486">
                  <c:v>41242.0</c:v>
                </c:pt>
                <c:pt idx="487">
                  <c:v>41249.0</c:v>
                </c:pt>
                <c:pt idx="488">
                  <c:v>41256.0</c:v>
                </c:pt>
                <c:pt idx="489">
                  <c:v>41263.0</c:v>
                </c:pt>
                <c:pt idx="490">
                  <c:v>41270.0</c:v>
                </c:pt>
                <c:pt idx="491">
                  <c:v>41277.0</c:v>
                </c:pt>
                <c:pt idx="492">
                  <c:v>41284.0</c:v>
                </c:pt>
                <c:pt idx="493">
                  <c:v>41291.0</c:v>
                </c:pt>
                <c:pt idx="494">
                  <c:v>41298.0</c:v>
                </c:pt>
                <c:pt idx="495">
                  <c:v>41305.0</c:v>
                </c:pt>
                <c:pt idx="496">
                  <c:v>41312.0</c:v>
                </c:pt>
                <c:pt idx="497">
                  <c:v>41319.0</c:v>
                </c:pt>
                <c:pt idx="498">
                  <c:v>41326.0</c:v>
                </c:pt>
                <c:pt idx="499">
                  <c:v>41333.0</c:v>
                </c:pt>
                <c:pt idx="500">
                  <c:v>41340.0</c:v>
                </c:pt>
                <c:pt idx="501">
                  <c:v>41347.0</c:v>
                </c:pt>
                <c:pt idx="502">
                  <c:v>41354.0</c:v>
                </c:pt>
                <c:pt idx="503">
                  <c:v>41361.0</c:v>
                </c:pt>
                <c:pt idx="504">
                  <c:v>41368.0</c:v>
                </c:pt>
                <c:pt idx="505">
                  <c:v>41375.0</c:v>
                </c:pt>
                <c:pt idx="506">
                  <c:v>41382.0</c:v>
                </c:pt>
                <c:pt idx="507">
                  <c:v>41389.0</c:v>
                </c:pt>
                <c:pt idx="508">
                  <c:v>41396.0</c:v>
                </c:pt>
                <c:pt idx="509">
                  <c:v>41403.0</c:v>
                </c:pt>
                <c:pt idx="510">
                  <c:v>41410.0</c:v>
                </c:pt>
                <c:pt idx="511">
                  <c:v>41417.0</c:v>
                </c:pt>
                <c:pt idx="512">
                  <c:v>41424.0</c:v>
                </c:pt>
                <c:pt idx="513">
                  <c:v>41431.0</c:v>
                </c:pt>
                <c:pt idx="514">
                  <c:v>41438.0</c:v>
                </c:pt>
                <c:pt idx="515">
                  <c:v>41445.0</c:v>
                </c:pt>
                <c:pt idx="516">
                  <c:v>41452.0</c:v>
                </c:pt>
                <c:pt idx="517">
                  <c:v>41459.0</c:v>
                </c:pt>
                <c:pt idx="518">
                  <c:v>41466.0</c:v>
                </c:pt>
                <c:pt idx="519">
                  <c:v>41473.0</c:v>
                </c:pt>
                <c:pt idx="520">
                  <c:v>41480.0</c:v>
                </c:pt>
                <c:pt idx="521">
                  <c:v>41487.0</c:v>
                </c:pt>
                <c:pt idx="522">
                  <c:v>41494.0</c:v>
                </c:pt>
                <c:pt idx="523">
                  <c:v>41501.0</c:v>
                </c:pt>
                <c:pt idx="524">
                  <c:v>41508.0</c:v>
                </c:pt>
                <c:pt idx="525">
                  <c:v>41515.0</c:v>
                </c:pt>
                <c:pt idx="526">
                  <c:v>41522.0</c:v>
                </c:pt>
                <c:pt idx="527">
                  <c:v>41529.0</c:v>
                </c:pt>
                <c:pt idx="528">
                  <c:v>41536.0</c:v>
                </c:pt>
                <c:pt idx="529">
                  <c:v>41543.0</c:v>
                </c:pt>
                <c:pt idx="530">
                  <c:v>41550.0</c:v>
                </c:pt>
                <c:pt idx="531">
                  <c:v>41557.0</c:v>
                </c:pt>
                <c:pt idx="532">
                  <c:v>41564.0</c:v>
                </c:pt>
                <c:pt idx="533">
                  <c:v>41571.0</c:v>
                </c:pt>
                <c:pt idx="534">
                  <c:v>41578.0</c:v>
                </c:pt>
                <c:pt idx="535">
                  <c:v>41585.0</c:v>
                </c:pt>
                <c:pt idx="536">
                  <c:v>41592.0</c:v>
                </c:pt>
                <c:pt idx="537">
                  <c:v>41599.0</c:v>
                </c:pt>
                <c:pt idx="538">
                  <c:v>41606.0</c:v>
                </c:pt>
                <c:pt idx="539">
                  <c:v>41613.0</c:v>
                </c:pt>
                <c:pt idx="540">
                  <c:v>41620.0</c:v>
                </c:pt>
                <c:pt idx="541">
                  <c:v>41627.0</c:v>
                </c:pt>
                <c:pt idx="542">
                  <c:v>41634.0</c:v>
                </c:pt>
                <c:pt idx="543">
                  <c:v>41641.0</c:v>
                </c:pt>
                <c:pt idx="544">
                  <c:v>41648.0</c:v>
                </c:pt>
                <c:pt idx="545">
                  <c:v>41655.0</c:v>
                </c:pt>
                <c:pt idx="546">
                  <c:v>41662.0</c:v>
                </c:pt>
                <c:pt idx="547">
                  <c:v>41669.0</c:v>
                </c:pt>
                <c:pt idx="548">
                  <c:v>41676.0</c:v>
                </c:pt>
                <c:pt idx="549">
                  <c:v>41683.0</c:v>
                </c:pt>
                <c:pt idx="550">
                  <c:v>41690.0</c:v>
                </c:pt>
                <c:pt idx="551">
                  <c:v>41697.0</c:v>
                </c:pt>
                <c:pt idx="552">
                  <c:v>41704.0</c:v>
                </c:pt>
                <c:pt idx="553">
                  <c:v>41711.0</c:v>
                </c:pt>
                <c:pt idx="554">
                  <c:v>41718.0</c:v>
                </c:pt>
                <c:pt idx="555">
                  <c:v>41725.0</c:v>
                </c:pt>
                <c:pt idx="556">
                  <c:v>41732.0</c:v>
                </c:pt>
                <c:pt idx="557">
                  <c:v>41739.0</c:v>
                </c:pt>
                <c:pt idx="558">
                  <c:v>41746.0</c:v>
                </c:pt>
                <c:pt idx="559">
                  <c:v>41753.0</c:v>
                </c:pt>
                <c:pt idx="560">
                  <c:v>41760.0</c:v>
                </c:pt>
                <c:pt idx="561">
                  <c:v>41767.0</c:v>
                </c:pt>
                <c:pt idx="562">
                  <c:v>41774.0</c:v>
                </c:pt>
                <c:pt idx="563">
                  <c:v>41781.0</c:v>
                </c:pt>
                <c:pt idx="564">
                  <c:v>41788.0</c:v>
                </c:pt>
                <c:pt idx="565">
                  <c:v>41795.0</c:v>
                </c:pt>
                <c:pt idx="566">
                  <c:v>41802.0</c:v>
                </c:pt>
                <c:pt idx="567">
                  <c:v>41809.0</c:v>
                </c:pt>
                <c:pt idx="568">
                  <c:v>41816.0</c:v>
                </c:pt>
                <c:pt idx="569">
                  <c:v>41823.0</c:v>
                </c:pt>
                <c:pt idx="570">
                  <c:v>41830.0</c:v>
                </c:pt>
                <c:pt idx="571">
                  <c:v>41837.0</c:v>
                </c:pt>
                <c:pt idx="572">
                  <c:v>41844.0</c:v>
                </c:pt>
                <c:pt idx="573">
                  <c:v>41851.0</c:v>
                </c:pt>
                <c:pt idx="574">
                  <c:v>41858.0</c:v>
                </c:pt>
                <c:pt idx="575">
                  <c:v>41865.0</c:v>
                </c:pt>
                <c:pt idx="576">
                  <c:v>41872.0</c:v>
                </c:pt>
                <c:pt idx="577">
                  <c:v>41879.0</c:v>
                </c:pt>
                <c:pt idx="578">
                  <c:v>41886.0</c:v>
                </c:pt>
                <c:pt idx="579">
                  <c:v>41893.0</c:v>
                </c:pt>
                <c:pt idx="580">
                  <c:v>41900.0</c:v>
                </c:pt>
                <c:pt idx="581">
                  <c:v>41907.0</c:v>
                </c:pt>
                <c:pt idx="582">
                  <c:v>41914.0</c:v>
                </c:pt>
                <c:pt idx="583">
                  <c:v>41921.0</c:v>
                </c:pt>
                <c:pt idx="584">
                  <c:v>41928.0</c:v>
                </c:pt>
                <c:pt idx="585">
                  <c:v>41935.0</c:v>
                </c:pt>
                <c:pt idx="586">
                  <c:v>41942.0</c:v>
                </c:pt>
                <c:pt idx="587">
                  <c:v>41949.0</c:v>
                </c:pt>
                <c:pt idx="588">
                  <c:v>41956.0</c:v>
                </c:pt>
                <c:pt idx="589">
                  <c:v>41963.0</c:v>
                </c:pt>
                <c:pt idx="590">
                  <c:v>41970.0</c:v>
                </c:pt>
                <c:pt idx="591">
                  <c:v>41977.0</c:v>
                </c:pt>
                <c:pt idx="592">
                  <c:v>41984.0</c:v>
                </c:pt>
                <c:pt idx="593">
                  <c:v>41991.0</c:v>
                </c:pt>
                <c:pt idx="594">
                  <c:v>41998.0</c:v>
                </c:pt>
                <c:pt idx="595">
                  <c:v>42005.0</c:v>
                </c:pt>
                <c:pt idx="596">
                  <c:v>42012.0</c:v>
                </c:pt>
                <c:pt idx="597">
                  <c:v>42019.0</c:v>
                </c:pt>
                <c:pt idx="598">
                  <c:v>42026.0</c:v>
                </c:pt>
                <c:pt idx="599">
                  <c:v>42033.0</c:v>
                </c:pt>
                <c:pt idx="600">
                  <c:v>42040.0</c:v>
                </c:pt>
                <c:pt idx="601">
                  <c:v>42047.0</c:v>
                </c:pt>
                <c:pt idx="602">
                  <c:v>42054.0</c:v>
                </c:pt>
                <c:pt idx="603">
                  <c:v>42061.0</c:v>
                </c:pt>
                <c:pt idx="604">
                  <c:v>42068.0</c:v>
                </c:pt>
                <c:pt idx="605">
                  <c:v>42075.0</c:v>
                </c:pt>
                <c:pt idx="606">
                  <c:v>42082.0</c:v>
                </c:pt>
                <c:pt idx="607">
                  <c:v>42089.0</c:v>
                </c:pt>
                <c:pt idx="608">
                  <c:v>42096.0</c:v>
                </c:pt>
                <c:pt idx="609">
                  <c:v>42103.0</c:v>
                </c:pt>
                <c:pt idx="610">
                  <c:v>42110.0</c:v>
                </c:pt>
                <c:pt idx="611">
                  <c:v>42117.0</c:v>
                </c:pt>
                <c:pt idx="612">
                  <c:v>42124.0</c:v>
                </c:pt>
                <c:pt idx="613">
                  <c:v>42131.0</c:v>
                </c:pt>
                <c:pt idx="614">
                  <c:v>42138.0</c:v>
                </c:pt>
                <c:pt idx="615">
                  <c:v>42145.0</c:v>
                </c:pt>
                <c:pt idx="616">
                  <c:v>42152.0</c:v>
                </c:pt>
                <c:pt idx="617">
                  <c:v>42159.0</c:v>
                </c:pt>
                <c:pt idx="618">
                  <c:v>42166.0</c:v>
                </c:pt>
                <c:pt idx="619">
                  <c:v>42173.0</c:v>
                </c:pt>
                <c:pt idx="620">
                  <c:v>42180.0</c:v>
                </c:pt>
                <c:pt idx="621">
                  <c:v>42187.0</c:v>
                </c:pt>
                <c:pt idx="622">
                  <c:v>42194.0</c:v>
                </c:pt>
                <c:pt idx="623">
                  <c:v>42201.0</c:v>
                </c:pt>
                <c:pt idx="624">
                  <c:v>42208.0</c:v>
                </c:pt>
                <c:pt idx="625">
                  <c:v>42215.0</c:v>
                </c:pt>
                <c:pt idx="626">
                  <c:v>42222.0</c:v>
                </c:pt>
                <c:pt idx="627">
                  <c:v>42229.0</c:v>
                </c:pt>
                <c:pt idx="628">
                  <c:v>42236.0</c:v>
                </c:pt>
                <c:pt idx="629">
                  <c:v>42243.0</c:v>
                </c:pt>
                <c:pt idx="630">
                  <c:v>42250.0</c:v>
                </c:pt>
                <c:pt idx="631">
                  <c:v>42257.0</c:v>
                </c:pt>
                <c:pt idx="632">
                  <c:v>42264.0</c:v>
                </c:pt>
                <c:pt idx="633">
                  <c:v>42271.0</c:v>
                </c:pt>
                <c:pt idx="634">
                  <c:v>42278.0</c:v>
                </c:pt>
                <c:pt idx="635">
                  <c:v>42285.0</c:v>
                </c:pt>
                <c:pt idx="636">
                  <c:v>42292.0</c:v>
                </c:pt>
                <c:pt idx="637">
                  <c:v>42299.0</c:v>
                </c:pt>
                <c:pt idx="638">
                  <c:v>42306.0</c:v>
                </c:pt>
                <c:pt idx="639">
                  <c:v>42313.0</c:v>
                </c:pt>
                <c:pt idx="640">
                  <c:v>42320.0</c:v>
                </c:pt>
                <c:pt idx="641">
                  <c:v>42327.0</c:v>
                </c:pt>
                <c:pt idx="642">
                  <c:v>42334.0</c:v>
                </c:pt>
                <c:pt idx="643">
                  <c:v>42341.0</c:v>
                </c:pt>
                <c:pt idx="644">
                  <c:v>42348.0</c:v>
                </c:pt>
                <c:pt idx="645">
                  <c:v>42355.0</c:v>
                </c:pt>
                <c:pt idx="646">
                  <c:v>42362.0</c:v>
                </c:pt>
                <c:pt idx="647">
                  <c:v>42369.0</c:v>
                </c:pt>
                <c:pt idx="648">
                  <c:v>42376.0</c:v>
                </c:pt>
                <c:pt idx="649">
                  <c:v>42383.0</c:v>
                </c:pt>
                <c:pt idx="650">
                  <c:v>42390.0</c:v>
                </c:pt>
                <c:pt idx="651">
                  <c:v>42397.0</c:v>
                </c:pt>
                <c:pt idx="652">
                  <c:v>42404.0</c:v>
                </c:pt>
                <c:pt idx="653">
                  <c:v>42411.0</c:v>
                </c:pt>
                <c:pt idx="654">
                  <c:v>42418.0</c:v>
                </c:pt>
                <c:pt idx="655">
                  <c:v>42425.0</c:v>
                </c:pt>
                <c:pt idx="656">
                  <c:v>42432.0</c:v>
                </c:pt>
                <c:pt idx="657">
                  <c:v>42439.0</c:v>
                </c:pt>
                <c:pt idx="658">
                  <c:v>42446.0</c:v>
                </c:pt>
                <c:pt idx="659">
                  <c:v>42453.0</c:v>
                </c:pt>
                <c:pt idx="660">
                  <c:v>42460.0</c:v>
                </c:pt>
                <c:pt idx="661">
                  <c:v>42467.0</c:v>
                </c:pt>
                <c:pt idx="662">
                  <c:v>42474.0</c:v>
                </c:pt>
                <c:pt idx="663">
                  <c:v>42481.0</c:v>
                </c:pt>
                <c:pt idx="664">
                  <c:v>42488.0</c:v>
                </c:pt>
                <c:pt idx="665">
                  <c:v>42495.0</c:v>
                </c:pt>
                <c:pt idx="666">
                  <c:v>42502.0</c:v>
                </c:pt>
                <c:pt idx="667">
                  <c:v>42509.0</c:v>
                </c:pt>
                <c:pt idx="668">
                  <c:v>42516.0</c:v>
                </c:pt>
                <c:pt idx="669">
                  <c:v>42523.0</c:v>
                </c:pt>
                <c:pt idx="670">
                  <c:v>42530.0</c:v>
                </c:pt>
                <c:pt idx="671">
                  <c:v>42537.0</c:v>
                </c:pt>
                <c:pt idx="672">
                  <c:v>42544.0</c:v>
                </c:pt>
                <c:pt idx="673">
                  <c:v>42551.0</c:v>
                </c:pt>
                <c:pt idx="674">
                  <c:v>42558.0</c:v>
                </c:pt>
                <c:pt idx="675">
                  <c:v>42565.0</c:v>
                </c:pt>
                <c:pt idx="676">
                  <c:v>42572.0</c:v>
                </c:pt>
                <c:pt idx="677">
                  <c:v>42579.0</c:v>
                </c:pt>
                <c:pt idx="678">
                  <c:v>42586.0</c:v>
                </c:pt>
                <c:pt idx="679">
                  <c:v>42593.0</c:v>
                </c:pt>
                <c:pt idx="680">
                  <c:v>42600.0</c:v>
                </c:pt>
                <c:pt idx="681">
                  <c:v>42607.0</c:v>
                </c:pt>
                <c:pt idx="682">
                  <c:v>42614.0</c:v>
                </c:pt>
                <c:pt idx="683">
                  <c:v>42621.0</c:v>
                </c:pt>
                <c:pt idx="684">
                  <c:v>42628.0</c:v>
                </c:pt>
                <c:pt idx="685">
                  <c:v>42635.0</c:v>
                </c:pt>
                <c:pt idx="686">
                  <c:v>42642.0</c:v>
                </c:pt>
                <c:pt idx="687">
                  <c:v>42649.0</c:v>
                </c:pt>
                <c:pt idx="688">
                  <c:v>42656.0</c:v>
                </c:pt>
                <c:pt idx="689">
                  <c:v>42663.0</c:v>
                </c:pt>
                <c:pt idx="690">
                  <c:v>42670.0</c:v>
                </c:pt>
                <c:pt idx="691">
                  <c:v>42677.0</c:v>
                </c:pt>
                <c:pt idx="692">
                  <c:v>42684.0</c:v>
                </c:pt>
                <c:pt idx="693">
                  <c:v>42691.0</c:v>
                </c:pt>
                <c:pt idx="694">
                  <c:v>42698.0</c:v>
                </c:pt>
                <c:pt idx="695">
                  <c:v>42705.0</c:v>
                </c:pt>
                <c:pt idx="696">
                  <c:v>42712.0</c:v>
                </c:pt>
                <c:pt idx="697">
                  <c:v>42719.0</c:v>
                </c:pt>
                <c:pt idx="698">
                  <c:v>42726.0</c:v>
                </c:pt>
                <c:pt idx="699">
                  <c:v>42733.0</c:v>
                </c:pt>
                <c:pt idx="700">
                  <c:v>42740.0</c:v>
                </c:pt>
                <c:pt idx="701">
                  <c:v>42747.0</c:v>
                </c:pt>
                <c:pt idx="702">
                  <c:v>42754.0</c:v>
                </c:pt>
                <c:pt idx="703">
                  <c:v>42761.0</c:v>
                </c:pt>
                <c:pt idx="704">
                  <c:v>42768.0</c:v>
                </c:pt>
                <c:pt idx="705">
                  <c:v>42775.0</c:v>
                </c:pt>
                <c:pt idx="706">
                  <c:v>42782.0</c:v>
                </c:pt>
                <c:pt idx="707">
                  <c:v>42789.0</c:v>
                </c:pt>
                <c:pt idx="708">
                  <c:v>42796.0</c:v>
                </c:pt>
                <c:pt idx="709">
                  <c:v>42803.0</c:v>
                </c:pt>
                <c:pt idx="710">
                  <c:v>42810.0</c:v>
                </c:pt>
                <c:pt idx="711">
                  <c:v>42817.0</c:v>
                </c:pt>
                <c:pt idx="712">
                  <c:v>42824.0</c:v>
                </c:pt>
                <c:pt idx="713">
                  <c:v>42831.0</c:v>
                </c:pt>
                <c:pt idx="714">
                  <c:v>42838.0</c:v>
                </c:pt>
                <c:pt idx="715">
                  <c:v>42845.0</c:v>
                </c:pt>
                <c:pt idx="716">
                  <c:v>42852.0</c:v>
                </c:pt>
                <c:pt idx="717">
                  <c:v>42859.0</c:v>
                </c:pt>
              </c:numCache>
            </c:numRef>
          </c:cat>
          <c:val>
            <c:numRef>
              <c:f>Data!$I$4:$I$721</c:f>
              <c:numCache>
                <c:formatCode>0.00%</c:formatCode>
                <c:ptCount val="718"/>
                <c:pt idx="0">
                  <c:v>0.00961066860344295</c:v>
                </c:pt>
                <c:pt idx="1">
                  <c:v>0.0176729371255062</c:v>
                </c:pt>
                <c:pt idx="2">
                  <c:v>0.00107499830459168</c:v>
                </c:pt>
                <c:pt idx="3">
                  <c:v>0.0562984968837299</c:v>
                </c:pt>
                <c:pt idx="4">
                  <c:v>0.0869562934653491</c:v>
                </c:pt>
                <c:pt idx="5">
                  <c:v>0.0840699427061344</c:v>
                </c:pt>
                <c:pt idx="6">
                  <c:v>0.0969900484996182</c:v>
                </c:pt>
                <c:pt idx="7">
                  <c:v>0.0875605151416376</c:v>
                </c:pt>
                <c:pt idx="8">
                  <c:v>0.0897590769977927</c:v>
                </c:pt>
                <c:pt idx="9">
                  <c:v>0.119113487356629</c:v>
                </c:pt>
                <c:pt idx="10">
                  <c:v>0.102231594974591</c:v>
                </c:pt>
                <c:pt idx="11">
                  <c:v>0.112266662583102</c:v>
                </c:pt>
                <c:pt idx="12">
                  <c:v>0.10547496592776</c:v>
                </c:pt>
                <c:pt idx="13">
                  <c:v>0.103802308818093</c:v>
                </c:pt>
                <c:pt idx="14">
                  <c:v>0.091699061728179</c:v>
                </c:pt>
                <c:pt idx="15">
                  <c:v>0.113677242369022</c:v>
                </c:pt>
                <c:pt idx="16">
                  <c:v>0.146243959423955</c:v>
                </c:pt>
                <c:pt idx="17">
                  <c:v>0.161437881330163</c:v>
                </c:pt>
                <c:pt idx="18">
                  <c:v>0.165643369203071</c:v>
                </c:pt>
                <c:pt idx="19">
                  <c:v>0.189701980018245</c:v>
                </c:pt>
                <c:pt idx="20">
                  <c:v>0.139989543158535</c:v>
                </c:pt>
                <c:pt idx="21">
                  <c:v>0.179201823603148</c:v>
                </c:pt>
                <c:pt idx="22">
                  <c:v>0.20999175265851</c:v>
                </c:pt>
                <c:pt idx="23">
                  <c:v>0.209536726921117</c:v>
                </c:pt>
                <c:pt idx="24">
                  <c:v>0.194522190161381</c:v>
                </c:pt>
                <c:pt idx="25">
                  <c:v>0.234713650990884</c:v>
                </c:pt>
                <c:pt idx="26">
                  <c:v>0.265409512225535</c:v>
                </c:pt>
                <c:pt idx="27">
                  <c:v>0.26710710824581</c:v>
                </c:pt>
                <c:pt idx="28">
                  <c:v>0.232807793190802</c:v>
                </c:pt>
                <c:pt idx="29">
                  <c:v>0.269039655055489</c:v>
                </c:pt>
                <c:pt idx="30">
                  <c:v>0.244744780876668</c:v>
                </c:pt>
                <c:pt idx="31">
                  <c:v>0.265528956481601</c:v>
                </c:pt>
                <c:pt idx="32">
                  <c:v>0.283172579449025</c:v>
                </c:pt>
                <c:pt idx="33">
                  <c:v>0.299032414020918</c:v>
                </c:pt>
                <c:pt idx="34">
                  <c:v>0.340990162256053</c:v>
                </c:pt>
                <c:pt idx="35">
                  <c:v>0.343730817274352</c:v>
                </c:pt>
                <c:pt idx="36">
                  <c:v>0.334474106191632</c:v>
                </c:pt>
                <c:pt idx="37">
                  <c:v>0.327461459538805</c:v>
                </c:pt>
                <c:pt idx="38">
                  <c:v>0.285927235259244</c:v>
                </c:pt>
                <c:pt idx="39">
                  <c:v>0.298303060266846</c:v>
                </c:pt>
                <c:pt idx="40">
                  <c:v>0.294240642986369</c:v>
                </c:pt>
                <c:pt idx="41">
                  <c:v>0.288757145326032</c:v>
                </c:pt>
                <c:pt idx="42">
                  <c:v>0.290848951143799</c:v>
                </c:pt>
                <c:pt idx="43">
                  <c:v>0.295924238214724</c:v>
                </c:pt>
                <c:pt idx="44">
                  <c:v>0.269543246039854</c:v>
                </c:pt>
                <c:pt idx="45">
                  <c:v>0.26172555385164</c:v>
                </c:pt>
                <c:pt idx="46">
                  <c:v>0.266494136074572</c:v>
                </c:pt>
                <c:pt idx="47">
                  <c:v>0.299632697974479</c:v>
                </c:pt>
                <c:pt idx="48">
                  <c:v>0.295498526635413</c:v>
                </c:pt>
                <c:pt idx="49">
                  <c:v>0.279804076418072</c:v>
                </c:pt>
                <c:pt idx="50">
                  <c:v>0.291067713517546</c:v>
                </c:pt>
                <c:pt idx="51">
                  <c:v>0.255914787680178</c:v>
                </c:pt>
                <c:pt idx="52">
                  <c:v>0.256135737677662</c:v>
                </c:pt>
                <c:pt idx="53">
                  <c:v>0.239438918263814</c:v>
                </c:pt>
                <c:pt idx="54">
                  <c:v>0.24400273890492</c:v>
                </c:pt>
                <c:pt idx="55">
                  <c:v>0.27522231726232</c:v>
                </c:pt>
                <c:pt idx="56">
                  <c:v>0.280405672945876</c:v>
                </c:pt>
                <c:pt idx="57">
                  <c:v>0.292238092217091</c:v>
                </c:pt>
                <c:pt idx="58">
                  <c:v>0.289806329670522</c:v>
                </c:pt>
                <c:pt idx="59">
                  <c:v>0.307622774913206</c:v>
                </c:pt>
                <c:pt idx="60">
                  <c:v>0.294964746443471</c:v>
                </c:pt>
                <c:pt idx="61">
                  <c:v>0.282063016689382</c:v>
                </c:pt>
                <c:pt idx="62">
                  <c:v>0.257862210331272</c:v>
                </c:pt>
                <c:pt idx="63">
                  <c:v>0.238706939361258</c:v>
                </c:pt>
                <c:pt idx="64">
                  <c:v>0.259744441794989</c:v>
                </c:pt>
                <c:pt idx="65">
                  <c:v>0.223383510129792</c:v>
                </c:pt>
                <c:pt idx="66">
                  <c:v>0.191960482764806</c:v>
                </c:pt>
                <c:pt idx="67">
                  <c:v>0.2253283076324</c:v>
                </c:pt>
                <c:pt idx="68">
                  <c:v>0.236561755524297</c:v>
                </c:pt>
                <c:pt idx="69">
                  <c:v>0.232630595668067</c:v>
                </c:pt>
                <c:pt idx="70">
                  <c:v>0.24108051111641</c:v>
                </c:pt>
                <c:pt idx="71">
                  <c:v>0.248235790836919</c:v>
                </c:pt>
                <c:pt idx="72">
                  <c:v>0.219484289580129</c:v>
                </c:pt>
                <c:pt idx="73">
                  <c:v>0.244459077216555</c:v>
                </c:pt>
                <c:pt idx="74">
                  <c:v>0.237193978784425</c:v>
                </c:pt>
                <c:pt idx="75">
                  <c:v>0.239855879348176</c:v>
                </c:pt>
                <c:pt idx="76">
                  <c:v>0.230663921928084</c:v>
                </c:pt>
                <c:pt idx="77">
                  <c:v>0.262121513748121</c:v>
                </c:pt>
                <c:pt idx="78">
                  <c:v>0.295575530990972</c:v>
                </c:pt>
                <c:pt idx="79">
                  <c:v>0.305737480776256</c:v>
                </c:pt>
                <c:pt idx="80">
                  <c:v>0.265144372228554</c:v>
                </c:pt>
                <c:pt idx="81">
                  <c:v>0.270571866721212</c:v>
                </c:pt>
                <c:pt idx="82">
                  <c:v>0.292601675282258</c:v>
                </c:pt>
                <c:pt idx="83">
                  <c:v>0.290577248275606</c:v>
                </c:pt>
                <c:pt idx="84">
                  <c:v>0.300121850642177</c:v>
                </c:pt>
                <c:pt idx="85">
                  <c:v>0.319947409525351</c:v>
                </c:pt>
                <c:pt idx="86">
                  <c:v>0.318666774589438</c:v>
                </c:pt>
                <c:pt idx="87">
                  <c:v>0.29144398480039</c:v>
                </c:pt>
                <c:pt idx="88">
                  <c:v>0.295978053758666</c:v>
                </c:pt>
                <c:pt idx="89">
                  <c:v>0.275531647258798</c:v>
                </c:pt>
                <c:pt idx="90">
                  <c:v>0.289297925913935</c:v>
                </c:pt>
                <c:pt idx="91">
                  <c:v>0.321112537927927</c:v>
                </c:pt>
                <c:pt idx="92">
                  <c:v>0.313322847323552</c:v>
                </c:pt>
                <c:pt idx="93">
                  <c:v>0.314561042358958</c:v>
                </c:pt>
                <c:pt idx="94">
                  <c:v>0.327057624196869</c:v>
                </c:pt>
                <c:pt idx="95">
                  <c:v>0.332199415029413</c:v>
                </c:pt>
                <c:pt idx="96">
                  <c:v>0.330775709501069</c:v>
                </c:pt>
                <c:pt idx="97">
                  <c:v>0.311827825261366</c:v>
                </c:pt>
                <c:pt idx="98">
                  <c:v>0.282560919852029</c:v>
                </c:pt>
                <c:pt idx="99">
                  <c:v>0.279267233552898</c:v>
                </c:pt>
                <c:pt idx="100">
                  <c:v>0.299968716980554</c:v>
                </c:pt>
                <c:pt idx="101">
                  <c:v>0.270339103555545</c:v>
                </c:pt>
                <c:pt idx="102">
                  <c:v>0.275990173194171</c:v>
                </c:pt>
                <c:pt idx="103">
                  <c:v>0.285627093282464</c:v>
                </c:pt>
                <c:pt idx="104">
                  <c:v>0.305289455434823</c:v>
                </c:pt>
                <c:pt idx="105">
                  <c:v>0.298304810365836</c:v>
                </c:pt>
                <c:pt idx="106">
                  <c:v>0.31678629322471</c:v>
                </c:pt>
                <c:pt idx="107">
                  <c:v>0.307423263628349</c:v>
                </c:pt>
                <c:pt idx="108">
                  <c:v>0.301459801320012</c:v>
                </c:pt>
                <c:pt idx="109">
                  <c:v>0.314396095529153</c:v>
                </c:pt>
                <c:pt idx="110">
                  <c:v>0.324208900565938</c:v>
                </c:pt>
                <c:pt idx="111">
                  <c:v>0.310744513986572</c:v>
                </c:pt>
                <c:pt idx="112">
                  <c:v>0.315349899478689</c:v>
                </c:pt>
                <c:pt idx="113">
                  <c:v>0.345130021416836</c:v>
                </c:pt>
                <c:pt idx="114">
                  <c:v>0.360134932632127</c:v>
                </c:pt>
                <c:pt idx="115">
                  <c:v>0.365072836932339</c:v>
                </c:pt>
                <c:pt idx="116">
                  <c:v>0.367912810068319</c:v>
                </c:pt>
                <c:pt idx="117">
                  <c:v>0.362014538947359</c:v>
                </c:pt>
                <c:pt idx="118">
                  <c:v>0.363481996950453</c:v>
                </c:pt>
                <c:pt idx="119">
                  <c:v>0.349937543342295</c:v>
                </c:pt>
                <c:pt idx="120">
                  <c:v>0.341416311360111</c:v>
                </c:pt>
                <c:pt idx="121">
                  <c:v>0.344771688648639</c:v>
                </c:pt>
                <c:pt idx="122">
                  <c:v>0.362411811418083</c:v>
                </c:pt>
                <c:pt idx="123">
                  <c:v>0.364620873868178</c:v>
                </c:pt>
                <c:pt idx="124">
                  <c:v>0.342250671053581</c:v>
                </c:pt>
                <c:pt idx="125">
                  <c:v>0.349965982450882</c:v>
                </c:pt>
                <c:pt idx="126">
                  <c:v>0.324510792641709</c:v>
                </c:pt>
                <c:pt idx="127">
                  <c:v>0.315597976010518</c:v>
                </c:pt>
                <c:pt idx="128">
                  <c:v>0.332284732355174</c:v>
                </c:pt>
                <c:pt idx="129">
                  <c:v>0.327775164782758</c:v>
                </c:pt>
                <c:pt idx="130">
                  <c:v>0.358922551556823</c:v>
                </c:pt>
                <c:pt idx="131">
                  <c:v>0.376486107495455</c:v>
                </c:pt>
                <c:pt idx="132">
                  <c:v>0.379004499942028</c:v>
                </c:pt>
                <c:pt idx="133">
                  <c:v>0.394322678876524</c:v>
                </c:pt>
                <c:pt idx="134">
                  <c:v>0.393376312847695</c:v>
                </c:pt>
                <c:pt idx="135">
                  <c:v>0.381205686946668</c:v>
                </c:pt>
                <c:pt idx="136">
                  <c:v>0.394445185805822</c:v>
                </c:pt>
                <c:pt idx="137">
                  <c:v>0.389627600811171</c:v>
                </c:pt>
                <c:pt idx="138">
                  <c:v>0.370429452415902</c:v>
                </c:pt>
                <c:pt idx="139">
                  <c:v>0.402980418579926</c:v>
                </c:pt>
                <c:pt idx="140">
                  <c:v>0.411802230063638</c:v>
                </c:pt>
                <c:pt idx="141">
                  <c:v>0.38024532012592</c:v>
                </c:pt>
                <c:pt idx="142">
                  <c:v>0.379542217856698</c:v>
                </c:pt>
                <c:pt idx="143">
                  <c:v>0.365985951080358</c:v>
                </c:pt>
                <c:pt idx="144">
                  <c:v>0.377545792433884</c:v>
                </c:pt>
                <c:pt idx="145">
                  <c:v>0.397569550027673</c:v>
                </c:pt>
                <c:pt idx="146">
                  <c:v>0.403000107193563</c:v>
                </c:pt>
                <c:pt idx="147">
                  <c:v>0.402755530859714</c:v>
                </c:pt>
                <c:pt idx="148">
                  <c:v>0.396029900441244</c:v>
                </c:pt>
                <c:pt idx="149">
                  <c:v>0.415082790620344</c:v>
                </c:pt>
                <c:pt idx="150">
                  <c:v>0.425621449213221</c:v>
                </c:pt>
                <c:pt idx="151">
                  <c:v>0.423761969036374</c:v>
                </c:pt>
                <c:pt idx="152">
                  <c:v>0.423782532699506</c:v>
                </c:pt>
                <c:pt idx="153">
                  <c:v>0.418012018804814</c:v>
                </c:pt>
                <c:pt idx="154">
                  <c:v>0.434139180997425</c:v>
                </c:pt>
                <c:pt idx="155">
                  <c:v>0.428257973341617</c:v>
                </c:pt>
                <c:pt idx="156">
                  <c:v>0.422649781128245</c:v>
                </c:pt>
                <c:pt idx="157">
                  <c:v>0.399551974658567</c:v>
                </c:pt>
                <c:pt idx="158">
                  <c:v>0.373734951883216</c:v>
                </c:pt>
                <c:pt idx="159">
                  <c:v>0.370111371924475</c:v>
                </c:pt>
                <c:pt idx="160">
                  <c:v>0.372283244771032</c:v>
                </c:pt>
                <c:pt idx="161">
                  <c:v>0.344355602613773</c:v>
                </c:pt>
                <c:pt idx="162">
                  <c:v>0.342139539767718</c:v>
                </c:pt>
                <c:pt idx="163">
                  <c:v>0.332643065123371</c:v>
                </c:pt>
                <c:pt idx="164">
                  <c:v>0.361151740145302</c:v>
                </c:pt>
                <c:pt idx="165">
                  <c:v>0.349919604827648</c:v>
                </c:pt>
                <c:pt idx="166">
                  <c:v>0.328835724770682</c:v>
                </c:pt>
                <c:pt idx="167">
                  <c:v>0.324906315013443</c:v>
                </c:pt>
                <c:pt idx="168">
                  <c:v>0.35470743813947</c:v>
                </c:pt>
                <c:pt idx="169">
                  <c:v>0.338939921289298</c:v>
                </c:pt>
                <c:pt idx="170">
                  <c:v>0.331975572993347</c:v>
                </c:pt>
                <c:pt idx="171">
                  <c:v>0.36537377607921</c:v>
                </c:pt>
                <c:pt idx="172">
                  <c:v>0.361321859392672</c:v>
                </c:pt>
                <c:pt idx="173">
                  <c:v>0.376535097141432</c:v>
                </c:pt>
                <c:pt idx="174">
                  <c:v>0.371101103656175</c:v>
                </c:pt>
                <c:pt idx="175">
                  <c:v>0.393635934782561</c:v>
                </c:pt>
                <c:pt idx="176">
                  <c:v>0.382481186217096</c:v>
                </c:pt>
                <c:pt idx="177">
                  <c:v>0.383806622812103</c:v>
                </c:pt>
                <c:pt idx="178">
                  <c:v>0.402080974455118</c:v>
                </c:pt>
                <c:pt idx="179">
                  <c:v>0.424507463515905</c:v>
                </c:pt>
                <c:pt idx="180">
                  <c:v>0.42669163474559</c:v>
                </c:pt>
                <c:pt idx="181">
                  <c:v>0.427679128100683</c:v>
                </c:pt>
                <c:pt idx="182">
                  <c:v>0.427249478798645</c:v>
                </c:pt>
                <c:pt idx="183">
                  <c:v>0.452278081979012</c:v>
                </c:pt>
                <c:pt idx="184">
                  <c:v>0.475256006667877</c:v>
                </c:pt>
                <c:pt idx="185">
                  <c:v>0.48299013162932</c:v>
                </c:pt>
                <c:pt idx="186">
                  <c:v>0.48303388410407</c:v>
                </c:pt>
                <c:pt idx="187">
                  <c:v>0.483077636578819</c:v>
                </c:pt>
                <c:pt idx="188">
                  <c:v>0.483121389053568</c:v>
                </c:pt>
                <c:pt idx="189">
                  <c:v>0.483165141528318</c:v>
                </c:pt>
                <c:pt idx="190">
                  <c:v>0.514404408499356</c:v>
                </c:pt>
                <c:pt idx="191">
                  <c:v>0.514448160974105</c:v>
                </c:pt>
                <c:pt idx="192">
                  <c:v>0.514491913448855</c:v>
                </c:pt>
                <c:pt idx="193">
                  <c:v>0.514535665923604</c:v>
                </c:pt>
                <c:pt idx="194">
                  <c:v>0.485877794962778</c:v>
                </c:pt>
                <c:pt idx="195">
                  <c:v>0.485921547437527</c:v>
                </c:pt>
                <c:pt idx="196">
                  <c:v>0.485965299912276</c:v>
                </c:pt>
                <c:pt idx="197">
                  <c:v>0.486009052387026</c:v>
                </c:pt>
                <c:pt idx="198">
                  <c:v>0.442212825162923</c:v>
                </c:pt>
                <c:pt idx="199">
                  <c:v>0.442256577637673</c:v>
                </c:pt>
                <c:pt idx="200">
                  <c:v>0.442300330112422</c:v>
                </c:pt>
                <c:pt idx="201">
                  <c:v>0.442344082587171</c:v>
                </c:pt>
                <c:pt idx="202">
                  <c:v>0.442387835061921</c:v>
                </c:pt>
                <c:pt idx="203">
                  <c:v>0.456257369557466</c:v>
                </c:pt>
                <c:pt idx="204">
                  <c:v>0.456301122032215</c:v>
                </c:pt>
                <c:pt idx="205">
                  <c:v>0.456344874506964</c:v>
                </c:pt>
                <c:pt idx="206">
                  <c:v>0.456388626981714</c:v>
                </c:pt>
                <c:pt idx="207">
                  <c:v>0.527311388550415</c:v>
                </c:pt>
                <c:pt idx="208">
                  <c:v>0.527355141025164</c:v>
                </c:pt>
                <c:pt idx="209">
                  <c:v>0.527398893499914</c:v>
                </c:pt>
                <c:pt idx="210">
                  <c:v>0.527442645974663</c:v>
                </c:pt>
                <c:pt idx="211">
                  <c:v>0.559950734713432</c:v>
                </c:pt>
                <c:pt idx="212">
                  <c:v>0.559950734713432</c:v>
                </c:pt>
                <c:pt idx="213">
                  <c:v>0.559950734713432</c:v>
                </c:pt>
                <c:pt idx="214">
                  <c:v>0.559950734713432</c:v>
                </c:pt>
                <c:pt idx="215">
                  <c:v>0.559950734713432</c:v>
                </c:pt>
                <c:pt idx="216">
                  <c:v>0.590796229411726</c:v>
                </c:pt>
                <c:pt idx="217">
                  <c:v>0.590839981886476</c:v>
                </c:pt>
                <c:pt idx="218">
                  <c:v>0.590883734361225</c:v>
                </c:pt>
                <c:pt idx="219">
                  <c:v>0.590927486835974</c:v>
                </c:pt>
                <c:pt idx="220">
                  <c:v>0.600290516432336</c:v>
                </c:pt>
                <c:pt idx="221">
                  <c:v>0.600334268907085</c:v>
                </c:pt>
                <c:pt idx="222">
                  <c:v>0.600378021381835</c:v>
                </c:pt>
                <c:pt idx="223">
                  <c:v>0.600421773856584</c:v>
                </c:pt>
                <c:pt idx="224">
                  <c:v>0.600465526331333</c:v>
                </c:pt>
                <c:pt idx="225">
                  <c:v>0.635555011080314</c:v>
                </c:pt>
                <c:pt idx="226">
                  <c:v>0.635598763555064</c:v>
                </c:pt>
                <c:pt idx="227">
                  <c:v>0.635642516029813</c:v>
                </c:pt>
                <c:pt idx="228">
                  <c:v>0.635686268504562</c:v>
                </c:pt>
                <c:pt idx="229">
                  <c:v>0.731110415932901</c:v>
                </c:pt>
                <c:pt idx="230">
                  <c:v>0.731154168407651</c:v>
                </c:pt>
                <c:pt idx="231">
                  <c:v>0.7311979208824</c:v>
                </c:pt>
                <c:pt idx="232">
                  <c:v>0.726297643710472</c:v>
                </c:pt>
                <c:pt idx="233">
                  <c:v>0.726297643710472</c:v>
                </c:pt>
                <c:pt idx="234">
                  <c:v>0.706346515224767</c:v>
                </c:pt>
                <c:pt idx="235">
                  <c:v>0.684470277850091</c:v>
                </c:pt>
                <c:pt idx="236">
                  <c:v>0.641330337747229</c:v>
                </c:pt>
                <c:pt idx="237">
                  <c:v>0.624377128831349</c:v>
                </c:pt>
                <c:pt idx="238">
                  <c:v>0.705690228103527</c:v>
                </c:pt>
                <c:pt idx="239">
                  <c:v>0.614685080624873</c:v>
                </c:pt>
                <c:pt idx="240">
                  <c:v>0.52494875491395</c:v>
                </c:pt>
                <c:pt idx="241">
                  <c:v>0.626804516130444</c:v>
                </c:pt>
                <c:pt idx="242">
                  <c:v>0.558331893147706</c:v>
                </c:pt>
                <c:pt idx="243">
                  <c:v>0.581389447340615</c:v>
                </c:pt>
                <c:pt idx="244">
                  <c:v>0.610441090574186</c:v>
                </c:pt>
                <c:pt idx="245">
                  <c:v>0.502766250216028</c:v>
                </c:pt>
                <c:pt idx="246">
                  <c:v>0.523373665822973</c:v>
                </c:pt>
                <c:pt idx="247">
                  <c:v>0.595433991735158</c:v>
                </c:pt>
                <c:pt idx="248">
                  <c:v>0.568744982138052</c:v>
                </c:pt>
                <c:pt idx="249">
                  <c:v>0.587646051229773</c:v>
                </c:pt>
                <c:pt idx="250">
                  <c:v>0.631179763605379</c:v>
                </c:pt>
                <c:pt idx="251">
                  <c:v>0.69199570350698</c:v>
                </c:pt>
                <c:pt idx="252">
                  <c:v>0.685739099617822</c:v>
                </c:pt>
                <c:pt idx="253">
                  <c:v>0.654674842545781</c:v>
                </c:pt>
                <c:pt idx="254">
                  <c:v>0.691908198557481</c:v>
                </c:pt>
                <c:pt idx="255">
                  <c:v>0.648374486181875</c:v>
                </c:pt>
                <c:pt idx="256">
                  <c:v>0.609916060877193</c:v>
                </c:pt>
                <c:pt idx="257">
                  <c:v>0.569051249461298</c:v>
                </c:pt>
                <c:pt idx="258">
                  <c:v>0.575152532065095</c:v>
                </c:pt>
                <c:pt idx="259">
                  <c:v>0.577068015409622</c:v>
                </c:pt>
                <c:pt idx="260">
                  <c:v>0.630264461833623</c:v>
                </c:pt>
                <c:pt idx="261">
                  <c:v>0.619028388793241</c:v>
                </c:pt>
                <c:pt idx="262">
                  <c:v>0.612013554516678</c:v>
                </c:pt>
                <c:pt idx="263">
                  <c:v>0.6184071036518</c:v>
                </c:pt>
                <c:pt idx="264">
                  <c:v>0.58582419818121</c:v>
                </c:pt>
                <c:pt idx="265">
                  <c:v>0.535932813699775</c:v>
                </c:pt>
                <c:pt idx="266">
                  <c:v>0.535713613801281</c:v>
                </c:pt>
                <c:pt idx="267">
                  <c:v>0.489888584323051</c:v>
                </c:pt>
                <c:pt idx="268">
                  <c:v>0.512816631190702</c:v>
                </c:pt>
                <c:pt idx="269">
                  <c:v>0.407526738231131</c:v>
                </c:pt>
                <c:pt idx="270">
                  <c:v>0.142384991151062</c:v>
                </c:pt>
                <c:pt idx="271">
                  <c:v>0.194442560657337</c:v>
                </c:pt>
                <c:pt idx="272">
                  <c:v>0.140621766418663</c:v>
                </c:pt>
                <c:pt idx="273">
                  <c:v>0.176637053533341</c:v>
                </c:pt>
                <c:pt idx="274">
                  <c:v>0.166054642465715</c:v>
                </c:pt>
                <c:pt idx="275">
                  <c:v>0.152532940144427</c:v>
                </c:pt>
                <c:pt idx="276">
                  <c:v>0.14322328856726</c:v>
                </c:pt>
                <c:pt idx="277">
                  <c:v>0.121802514454724</c:v>
                </c:pt>
                <c:pt idx="278">
                  <c:v>0.125874994804394</c:v>
                </c:pt>
                <c:pt idx="279">
                  <c:v>0.133242911552185</c:v>
                </c:pt>
                <c:pt idx="280">
                  <c:v>0.142194667885903</c:v>
                </c:pt>
                <c:pt idx="281">
                  <c:v>0.137491714375094</c:v>
                </c:pt>
                <c:pt idx="282">
                  <c:v>0.145830498537574</c:v>
                </c:pt>
                <c:pt idx="283">
                  <c:v>0.134953633314884</c:v>
                </c:pt>
                <c:pt idx="284">
                  <c:v>0.0935156644797721</c:v>
                </c:pt>
                <c:pt idx="285">
                  <c:v>0.0225285867731892</c:v>
                </c:pt>
                <c:pt idx="286">
                  <c:v>0.0375899386809066</c:v>
                </c:pt>
                <c:pt idx="287">
                  <c:v>0.0594810518969979</c:v>
                </c:pt>
                <c:pt idx="288">
                  <c:v>0.0275417453299702</c:v>
                </c:pt>
                <c:pt idx="289">
                  <c:v>0.0262681107900167</c:v>
                </c:pt>
                <c:pt idx="290">
                  <c:v>-0.0370176563111851</c:v>
                </c:pt>
                <c:pt idx="291">
                  <c:v>-0.0660793626139479</c:v>
                </c:pt>
                <c:pt idx="292">
                  <c:v>-0.0648941080729879</c:v>
                </c:pt>
                <c:pt idx="293">
                  <c:v>-0.0238236600257702</c:v>
                </c:pt>
                <c:pt idx="294">
                  <c:v>0.0461391722469304</c:v>
                </c:pt>
                <c:pt idx="295">
                  <c:v>0.00517285508961618</c:v>
                </c:pt>
                <c:pt idx="296">
                  <c:v>0.118091429546484</c:v>
                </c:pt>
                <c:pt idx="297">
                  <c:v>0.139556831183264</c:v>
                </c:pt>
                <c:pt idx="298">
                  <c:v>0.12226060286535</c:v>
                </c:pt>
                <c:pt idx="299">
                  <c:v>0.168095695412772</c:v>
                </c:pt>
                <c:pt idx="300">
                  <c:v>0.198546105264079</c:v>
                </c:pt>
                <c:pt idx="301">
                  <c:v>0.176974166351284</c:v>
                </c:pt>
                <c:pt idx="302">
                  <c:v>0.193464255321942</c:v>
                </c:pt>
                <c:pt idx="303">
                  <c:v>0.206939142495247</c:v>
                </c:pt>
                <c:pt idx="304">
                  <c:v>0.235257931776766</c:v>
                </c:pt>
                <c:pt idx="305">
                  <c:v>0.313475980985175</c:v>
                </c:pt>
                <c:pt idx="306">
                  <c:v>0.238172721644568</c:v>
                </c:pt>
                <c:pt idx="307">
                  <c:v>0.234163244858537</c:v>
                </c:pt>
                <c:pt idx="308">
                  <c:v>0.238787006390049</c:v>
                </c:pt>
                <c:pt idx="309">
                  <c:v>0.181141808333534</c:v>
                </c:pt>
                <c:pt idx="310">
                  <c:v>0.254729533139218</c:v>
                </c:pt>
                <c:pt idx="311">
                  <c:v>0.299561381440638</c:v>
                </c:pt>
                <c:pt idx="312">
                  <c:v>0.308958537967304</c:v>
                </c:pt>
                <c:pt idx="313">
                  <c:v>0.314807368791797</c:v>
                </c:pt>
                <c:pt idx="314">
                  <c:v>0.34893998691801</c:v>
                </c:pt>
                <c:pt idx="315">
                  <c:v>0.332059901513179</c:v>
                </c:pt>
                <c:pt idx="316">
                  <c:v>0.343460864505149</c:v>
                </c:pt>
                <c:pt idx="317">
                  <c:v>0.343028590054625</c:v>
                </c:pt>
                <c:pt idx="318">
                  <c:v>0.392094365337539</c:v>
                </c:pt>
                <c:pt idx="319">
                  <c:v>0.41578974179477</c:v>
                </c:pt>
                <c:pt idx="320">
                  <c:v>0.38379408335284</c:v>
                </c:pt>
                <c:pt idx="321">
                  <c:v>0.362036852709481</c:v>
                </c:pt>
                <c:pt idx="322">
                  <c:v>0.419913063832673</c:v>
                </c:pt>
                <c:pt idx="323">
                  <c:v>0.45357884305331</c:v>
                </c:pt>
                <c:pt idx="324">
                  <c:v>0.440306529838094</c:v>
                </c:pt>
                <c:pt idx="325">
                  <c:v>0.417447174355799</c:v>
                </c:pt>
                <c:pt idx="326">
                  <c:v>0.427570621963305</c:v>
                </c:pt>
                <c:pt idx="327">
                  <c:v>0.436596319979349</c:v>
                </c:pt>
                <c:pt idx="328">
                  <c:v>0.441231894679043</c:v>
                </c:pt>
                <c:pt idx="329">
                  <c:v>0.450958069815824</c:v>
                </c:pt>
                <c:pt idx="330">
                  <c:v>0.462299523754313</c:v>
                </c:pt>
                <c:pt idx="331">
                  <c:v>0.465498329749276</c:v>
                </c:pt>
                <c:pt idx="332">
                  <c:v>0.46124558920364</c:v>
                </c:pt>
                <c:pt idx="333">
                  <c:v>0.496015803393879</c:v>
                </c:pt>
                <c:pt idx="334">
                  <c:v>0.480983709641076</c:v>
                </c:pt>
                <c:pt idx="335">
                  <c:v>0.538246704454221</c:v>
                </c:pt>
                <c:pt idx="336">
                  <c:v>0.551268368492093</c:v>
                </c:pt>
                <c:pt idx="337">
                  <c:v>0.515056586388168</c:v>
                </c:pt>
                <c:pt idx="338">
                  <c:v>0.419985449239473</c:v>
                </c:pt>
                <c:pt idx="339">
                  <c:v>0.444034240686739</c:v>
                </c:pt>
                <c:pt idx="340">
                  <c:v>0.486445702085024</c:v>
                </c:pt>
                <c:pt idx="341">
                  <c:v>0.470291225659952</c:v>
                </c:pt>
                <c:pt idx="342">
                  <c:v>0.499255962805453</c:v>
                </c:pt>
                <c:pt idx="343">
                  <c:v>0.51521073109006</c:v>
                </c:pt>
                <c:pt idx="344">
                  <c:v>0.530283324639272</c:v>
                </c:pt>
                <c:pt idx="345">
                  <c:v>0.545355918188483</c:v>
                </c:pt>
                <c:pt idx="346">
                  <c:v>0.560428511737695</c:v>
                </c:pt>
                <c:pt idx="347">
                  <c:v>0.57287609299151</c:v>
                </c:pt>
                <c:pt idx="348">
                  <c:v>0.582449569803792</c:v>
                </c:pt>
                <c:pt idx="349">
                  <c:v>0.626283422887357</c:v>
                </c:pt>
                <c:pt idx="350">
                  <c:v>0.629685204444376</c:v>
                </c:pt>
                <c:pt idx="351">
                  <c:v>0.581995493932626</c:v>
                </c:pt>
                <c:pt idx="352">
                  <c:v>0.459445967662546</c:v>
                </c:pt>
                <c:pt idx="353">
                  <c:v>0.509532570436015</c:v>
                </c:pt>
                <c:pt idx="354">
                  <c:v>0.47306663283142</c:v>
                </c:pt>
                <c:pt idx="355">
                  <c:v>0.436600257702076</c:v>
                </c:pt>
                <c:pt idx="356">
                  <c:v>0.402839971385882</c:v>
                </c:pt>
                <c:pt idx="357">
                  <c:v>0.43735192521827</c:v>
                </c:pt>
                <c:pt idx="358">
                  <c:v>0.468832268325177</c:v>
                </c:pt>
                <c:pt idx="359">
                  <c:v>0.409377121393429</c:v>
                </c:pt>
                <c:pt idx="360">
                  <c:v>0.416442089443184</c:v>
                </c:pt>
                <c:pt idx="361">
                  <c:v>0.439988644045179</c:v>
                </c:pt>
                <c:pt idx="362">
                  <c:v>0.444859968016941</c:v>
                </c:pt>
                <c:pt idx="363">
                  <c:v>0.451990982614954</c:v>
                </c:pt>
                <c:pt idx="364">
                  <c:v>0.477087564890389</c:v>
                </c:pt>
                <c:pt idx="365">
                  <c:v>0.440152958651724</c:v>
                </c:pt>
                <c:pt idx="366">
                  <c:v>0.403217994517815</c:v>
                </c:pt>
                <c:pt idx="367">
                  <c:v>0.366283411905486</c:v>
                </c:pt>
                <c:pt idx="368">
                  <c:v>0.446092322534493</c:v>
                </c:pt>
                <c:pt idx="369">
                  <c:v>0.43858502965324</c:v>
                </c:pt>
                <c:pt idx="370">
                  <c:v>0.45095357206142</c:v>
                </c:pt>
                <c:pt idx="371">
                  <c:v>0.43519674219073</c:v>
                </c:pt>
                <c:pt idx="372">
                  <c:v>0.458161794026475</c:v>
                </c:pt>
                <c:pt idx="373">
                  <c:v>0.465725428282037</c:v>
                </c:pt>
                <c:pt idx="374">
                  <c:v>0.493941450875815</c:v>
                </c:pt>
                <c:pt idx="375">
                  <c:v>0.503361202055491</c:v>
                </c:pt>
                <c:pt idx="376">
                  <c:v>0.491959388952938</c:v>
                </c:pt>
                <c:pt idx="377">
                  <c:v>0.487258711445866</c:v>
                </c:pt>
                <c:pt idx="378">
                  <c:v>0.603810820862055</c:v>
                </c:pt>
                <c:pt idx="379">
                  <c:v>0.613183325494348</c:v>
                </c:pt>
                <c:pt idx="380">
                  <c:v>0.611841169766165</c:v>
                </c:pt>
                <c:pt idx="381">
                  <c:v>0.610276572956157</c:v>
                </c:pt>
                <c:pt idx="382">
                  <c:v>0.614927023497266</c:v>
                </c:pt>
                <c:pt idx="383">
                  <c:v>0.619577474038375</c:v>
                </c:pt>
                <c:pt idx="384">
                  <c:v>0.624227924579483</c:v>
                </c:pt>
                <c:pt idx="385">
                  <c:v>0.628878713327222</c:v>
                </c:pt>
                <c:pt idx="386">
                  <c:v>0.633145686552896</c:v>
                </c:pt>
                <c:pt idx="387">
                  <c:v>0.654466994664385</c:v>
                </c:pt>
                <c:pt idx="388">
                  <c:v>0.683638980829853</c:v>
                </c:pt>
                <c:pt idx="389">
                  <c:v>0.670607597179715</c:v>
                </c:pt>
                <c:pt idx="390">
                  <c:v>0.68414009017385</c:v>
                </c:pt>
                <c:pt idx="391">
                  <c:v>0.715290355860753</c:v>
                </c:pt>
                <c:pt idx="392">
                  <c:v>0.706167567603043</c:v>
                </c:pt>
                <c:pt idx="393">
                  <c:v>0.696082541231238</c:v>
                </c:pt>
                <c:pt idx="394">
                  <c:v>0.69719393503195</c:v>
                </c:pt>
                <c:pt idx="395">
                  <c:v>0.703725920497378</c:v>
                </c:pt>
                <c:pt idx="396">
                  <c:v>0.69194465661964</c:v>
                </c:pt>
                <c:pt idx="397">
                  <c:v>0.656468305926054</c:v>
                </c:pt>
                <c:pt idx="398">
                  <c:v>0.706603110800955</c:v>
                </c:pt>
                <c:pt idx="399">
                  <c:v>0.746604821085192</c:v>
                </c:pt>
                <c:pt idx="400">
                  <c:v>0.736421258014906</c:v>
                </c:pt>
                <c:pt idx="401">
                  <c:v>0.728003990225697</c:v>
                </c:pt>
                <c:pt idx="402">
                  <c:v>0.761212118560456</c:v>
                </c:pt>
                <c:pt idx="403">
                  <c:v>0.772981534268032</c:v>
                </c:pt>
                <c:pt idx="404">
                  <c:v>0.727217320729704</c:v>
                </c:pt>
                <c:pt idx="405">
                  <c:v>0.751409376592863</c:v>
                </c:pt>
                <c:pt idx="406">
                  <c:v>0.744917384389555</c:v>
                </c:pt>
                <c:pt idx="407">
                  <c:v>0.676328379823984</c:v>
                </c:pt>
                <c:pt idx="408">
                  <c:v>0.66540688707705</c:v>
                </c:pt>
                <c:pt idx="409">
                  <c:v>0.625272741989469</c:v>
                </c:pt>
                <c:pt idx="410">
                  <c:v>0.610680416611065</c:v>
                </c:pt>
                <c:pt idx="411">
                  <c:v>0.637903206400112</c:v>
                </c:pt>
                <c:pt idx="412">
                  <c:v>0.667293493788243</c:v>
                </c:pt>
                <c:pt idx="413">
                  <c:v>0.700309986283599</c:v>
                </c:pt>
                <c:pt idx="414">
                  <c:v>0.654093372156363</c:v>
                </c:pt>
                <c:pt idx="415">
                  <c:v>0.677328561396754</c:v>
                </c:pt>
                <c:pt idx="416">
                  <c:v>0.614568261517292</c:v>
                </c:pt>
                <c:pt idx="417">
                  <c:v>0.513062520098793</c:v>
                </c:pt>
                <c:pt idx="418">
                  <c:v>0.476286377448224</c:v>
                </c:pt>
                <c:pt idx="419">
                  <c:v>0.44645156491664</c:v>
                </c:pt>
                <c:pt idx="420">
                  <c:v>0.472644421450088</c:v>
                </c:pt>
                <c:pt idx="421">
                  <c:v>0.521624879407242</c:v>
                </c:pt>
                <c:pt idx="422">
                  <c:v>0.503746743175161</c:v>
                </c:pt>
                <c:pt idx="423">
                  <c:v>0.526564533806444</c:v>
                </c:pt>
                <c:pt idx="424">
                  <c:v>0.431420839741248</c:v>
                </c:pt>
                <c:pt idx="425">
                  <c:v>0.449512925574853</c:v>
                </c:pt>
                <c:pt idx="426">
                  <c:v>0.49451978377527</c:v>
                </c:pt>
                <c:pt idx="427">
                  <c:v>0.579017625684453</c:v>
                </c:pt>
                <c:pt idx="428">
                  <c:v>0.575109217115093</c:v>
                </c:pt>
                <c:pt idx="429">
                  <c:v>0.676922975955827</c:v>
                </c:pt>
                <c:pt idx="430">
                  <c:v>0.660639617428361</c:v>
                </c:pt>
                <c:pt idx="431">
                  <c:v>0.62975518302754</c:v>
                </c:pt>
                <c:pt idx="432">
                  <c:v>0.614302683995564</c:v>
                </c:pt>
                <c:pt idx="433">
                  <c:v>0.549373573942776</c:v>
                </c:pt>
                <c:pt idx="434">
                  <c:v>0.652058882080518</c:v>
                </c:pt>
                <c:pt idx="435">
                  <c:v>0.640081642117882</c:v>
                </c:pt>
                <c:pt idx="436">
                  <c:v>0.612746845993476</c:v>
                </c:pt>
                <c:pt idx="437">
                  <c:v>0.666146741425062</c:v>
                </c:pt>
                <c:pt idx="438">
                  <c:v>0.675657216861329</c:v>
                </c:pt>
                <c:pt idx="439">
                  <c:v>0.702554925762988</c:v>
                </c:pt>
                <c:pt idx="440">
                  <c:v>0.72004016477182</c:v>
                </c:pt>
                <c:pt idx="441">
                  <c:v>0.745324719929471</c:v>
                </c:pt>
                <c:pt idx="442">
                  <c:v>0.750560578582726</c:v>
                </c:pt>
                <c:pt idx="443">
                  <c:v>0.760013738277071</c:v>
                </c:pt>
                <c:pt idx="444">
                  <c:v>0.795038031838676</c:v>
                </c:pt>
                <c:pt idx="445">
                  <c:v>0.786745806434677</c:v>
                </c:pt>
                <c:pt idx="446">
                  <c:v>0.787371284375773</c:v>
                </c:pt>
                <c:pt idx="447">
                  <c:v>0.783938138813476</c:v>
                </c:pt>
                <c:pt idx="448">
                  <c:v>0.783938138813476</c:v>
                </c:pt>
                <c:pt idx="449">
                  <c:v>0.811054929919474</c:v>
                </c:pt>
                <c:pt idx="450">
                  <c:v>0.799074117567275</c:v>
                </c:pt>
                <c:pt idx="451">
                  <c:v>0.801050265468141</c:v>
                </c:pt>
                <c:pt idx="452">
                  <c:v>0.805192543703253</c:v>
                </c:pt>
                <c:pt idx="453">
                  <c:v>0.805610881677995</c:v>
                </c:pt>
                <c:pt idx="454">
                  <c:v>0.772546373904275</c:v>
                </c:pt>
                <c:pt idx="455">
                  <c:v>0.776400402085243</c:v>
                </c:pt>
                <c:pt idx="456">
                  <c:v>0.770670528551771</c:v>
                </c:pt>
                <c:pt idx="457">
                  <c:v>0.732489056412253</c:v>
                </c:pt>
                <c:pt idx="458">
                  <c:v>0.665888164299293</c:v>
                </c:pt>
                <c:pt idx="459">
                  <c:v>0.672738051746052</c:v>
                </c:pt>
                <c:pt idx="460">
                  <c:v>0.664996488863902</c:v>
                </c:pt>
                <c:pt idx="461">
                  <c:v>0.670990577904563</c:v>
                </c:pt>
                <c:pt idx="462">
                  <c:v>0.688870026710886</c:v>
                </c:pt>
                <c:pt idx="463">
                  <c:v>0.684310143792508</c:v>
                </c:pt>
                <c:pt idx="464">
                  <c:v>0.688857776017956</c:v>
                </c:pt>
                <c:pt idx="465">
                  <c:v>0.737834733777129</c:v>
                </c:pt>
                <c:pt idx="466">
                  <c:v>0.696126812172813</c:v>
                </c:pt>
                <c:pt idx="467">
                  <c:v>0.749215189984184</c:v>
                </c:pt>
                <c:pt idx="468">
                  <c:v>0.671660865817723</c:v>
                </c:pt>
                <c:pt idx="469">
                  <c:v>0.678050039705371</c:v>
                </c:pt>
                <c:pt idx="470">
                  <c:v>0.724544919572013</c:v>
                </c:pt>
                <c:pt idx="471">
                  <c:v>0.743228101339482</c:v>
                </c:pt>
                <c:pt idx="472">
                  <c:v>0.732106222258197</c:v>
                </c:pt>
                <c:pt idx="473">
                  <c:v>0.733646309369374</c:v>
                </c:pt>
                <c:pt idx="474">
                  <c:v>0.766806747506656</c:v>
                </c:pt>
                <c:pt idx="475">
                  <c:v>0.798437599126701</c:v>
                </c:pt>
                <c:pt idx="476">
                  <c:v>0.794402093028846</c:v>
                </c:pt>
                <c:pt idx="477">
                  <c:v>0.774071408414039</c:v>
                </c:pt>
                <c:pt idx="478">
                  <c:v>0.835888842462652</c:v>
                </c:pt>
                <c:pt idx="479">
                  <c:v>0.804145109457754</c:v>
                </c:pt>
                <c:pt idx="480">
                  <c:v>0.780735944626868</c:v>
                </c:pt>
                <c:pt idx="481">
                  <c:v>0.757326779795982</c:v>
                </c:pt>
                <c:pt idx="482">
                  <c:v>0.781544685058749</c:v>
                </c:pt>
                <c:pt idx="483">
                  <c:v>0.752560622335201</c:v>
                </c:pt>
                <c:pt idx="484">
                  <c:v>0.734997311847952</c:v>
                </c:pt>
                <c:pt idx="485">
                  <c:v>0.785776289221359</c:v>
                </c:pt>
                <c:pt idx="486">
                  <c:v>0.819054055745028</c:v>
                </c:pt>
                <c:pt idx="487">
                  <c:v>0.845688893653047</c:v>
                </c:pt>
                <c:pt idx="488">
                  <c:v>0.837805728073994</c:v>
                </c:pt>
                <c:pt idx="489">
                  <c:v>0.863278085041685</c:v>
                </c:pt>
                <c:pt idx="490">
                  <c:v>0.838659027951269</c:v>
                </c:pt>
                <c:pt idx="491">
                  <c:v>0.89265388817305</c:v>
                </c:pt>
                <c:pt idx="492">
                  <c:v>0.902214919156365</c:v>
                </c:pt>
                <c:pt idx="493">
                  <c:v>0.930825802584459</c:v>
                </c:pt>
                <c:pt idx="494">
                  <c:v>0.966623415449436</c:v>
                </c:pt>
                <c:pt idx="495">
                  <c:v>0.975009038386234</c:v>
                </c:pt>
                <c:pt idx="496">
                  <c:v>0.986237931207984</c:v>
                </c:pt>
                <c:pt idx="497">
                  <c:v>1.007076017299728</c:v>
                </c:pt>
                <c:pt idx="498">
                  <c:v>0.976231156574794</c:v>
                </c:pt>
                <c:pt idx="499">
                  <c:v>0.978264135877685</c:v>
                </c:pt>
                <c:pt idx="500">
                  <c:v>1.008595613376882</c:v>
                </c:pt>
                <c:pt idx="501">
                  <c:v>1.034472215647197</c:v>
                </c:pt>
                <c:pt idx="502">
                  <c:v>1.01937447743138</c:v>
                </c:pt>
                <c:pt idx="503">
                  <c:v>1.038964203912784</c:v>
                </c:pt>
                <c:pt idx="504">
                  <c:v>0.996636142606816</c:v>
                </c:pt>
                <c:pt idx="505">
                  <c:v>1.036798184272298</c:v>
                </c:pt>
                <c:pt idx="506">
                  <c:v>0.969455328066994</c:v>
                </c:pt>
                <c:pt idx="507">
                  <c:v>1.035356105329708</c:v>
                </c:pt>
                <c:pt idx="508">
                  <c:v>1.057419765180468</c:v>
                </c:pt>
                <c:pt idx="509">
                  <c:v>1.157125745049954</c:v>
                </c:pt>
                <c:pt idx="510">
                  <c:v>1.252243063373272</c:v>
                </c:pt>
                <c:pt idx="511">
                  <c:v>1.254315622039872</c:v>
                </c:pt>
                <c:pt idx="512">
                  <c:v>1.262677316748229</c:v>
                </c:pt>
                <c:pt idx="513">
                  <c:v>1.194767497161559</c:v>
                </c:pt>
                <c:pt idx="514">
                  <c:v>1.238792675398202</c:v>
                </c:pt>
                <c:pt idx="515">
                  <c:v>1.214109342247171</c:v>
                </c:pt>
                <c:pt idx="516">
                  <c:v>1.2824523738999</c:v>
                </c:pt>
                <c:pt idx="517">
                  <c:v>1.316195796262226</c:v>
                </c:pt>
                <c:pt idx="518">
                  <c:v>1.42771316402584</c:v>
                </c:pt>
                <c:pt idx="519">
                  <c:v>1.426938245569515</c:v>
                </c:pt>
                <c:pt idx="520">
                  <c:v>1.404874971178057</c:v>
                </c:pt>
                <c:pt idx="521">
                  <c:v>1.430224300999525</c:v>
                </c:pt>
                <c:pt idx="522">
                  <c:v>1.351721763137228</c:v>
                </c:pt>
                <c:pt idx="523">
                  <c:v>1.252754049838444</c:v>
                </c:pt>
                <c:pt idx="524">
                  <c:v>1.264884766044579</c:v>
                </c:pt>
                <c:pt idx="525">
                  <c:v>1.245428632057</c:v>
                </c:pt>
                <c:pt idx="526">
                  <c:v>1.259459100405367</c:v>
                </c:pt>
                <c:pt idx="527">
                  <c:v>1.330757315085635</c:v>
                </c:pt>
                <c:pt idx="528">
                  <c:v>1.37746092444604</c:v>
                </c:pt>
                <c:pt idx="529">
                  <c:v>1.349985431300958</c:v>
                </c:pt>
                <c:pt idx="530">
                  <c:v>1.342718870223597</c:v>
                </c:pt>
                <c:pt idx="531">
                  <c:v>1.351468722887138</c:v>
                </c:pt>
                <c:pt idx="532">
                  <c:v>1.371653314578106</c:v>
                </c:pt>
                <c:pt idx="533">
                  <c:v>1.374373417308917</c:v>
                </c:pt>
                <c:pt idx="534">
                  <c:v>1.355815161107551</c:v>
                </c:pt>
                <c:pt idx="535">
                  <c:v>1.31484935672924</c:v>
                </c:pt>
                <c:pt idx="536">
                  <c:v>1.40686282855374</c:v>
                </c:pt>
                <c:pt idx="537">
                  <c:v>1.383807274286452</c:v>
                </c:pt>
                <c:pt idx="538">
                  <c:v>1.492599643417331</c:v>
                </c:pt>
                <c:pt idx="539">
                  <c:v>1.586043111500995</c:v>
                </c:pt>
                <c:pt idx="540">
                  <c:v>1.55281214656204</c:v>
                </c:pt>
                <c:pt idx="541">
                  <c:v>1.575812139999169</c:v>
                </c:pt>
                <c:pt idx="542">
                  <c:v>1.610822168503906</c:v>
                </c:pt>
                <c:pt idx="543">
                  <c:v>1.589239475670343</c:v>
                </c:pt>
                <c:pt idx="544">
                  <c:v>1.646571251998941</c:v>
                </c:pt>
                <c:pt idx="545">
                  <c:v>1.652820533473925</c:v>
                </c:pt>
                <c:pt idx="546">
                  <c:v>1.642749640901564</c:v>
                </c:pt>
                <c:pt idx="547">
                  <c:v>1.544715888492443</c:v>
                </c:pt>
                <c:pt idx="548">
                  <c:v>1.530691695561531</c:v>
                </c:pt>
                <c:pt idx="549">
                  <c:v>1.586709667328059</c:v>
                </c:pt>
                <c:pt idx="550">
                  <c:v>1.622301620810427</c:v>
                </c:pt>
                <c:pt idx="551">
                  <c:v>1.678768556408972</c:v>
                </c:pt>
                <c:pt idx="552">
                  <c:v>1.735884458902207</c:v>
                </c:pt>
                <c:pt idx="553">
                  <c:v>1.692994712950951</c:v>
                </c:pt>
                <c:pt idx="554">
                  <c:v>1.758870997140776</c:v>
                </c:pt>
                <c:pt idx="555">
                  <c:v>1.708118048552121</c:v>
                </c:pt>
                <c:pt idx="556">
                  <c:v>1.754345078393497</c:v>
                </c:pt>
                <c:pt idx="557">
                  <c:v>1.669267277742898</c:v>
                </c:pt>
                <c:pt idx="558">
                  <c:v>1.712315100510373</c:v>
                </c:pt>
                <c:pt idx="559">
                  <c:v>1.74701185079531</c:v>
                </c:pt>
                <c:pt idx="560">
                  <c:v>1.73897615752641</c:v>
                </c:pt>
                <c:pt idx="561">
                  <c:v>1.65306093188396</c:v>
                </c:pt>
                <c:pt idx="562">
                  <c:v>1.664710433050988</c:v>
                </c:pt>
                <c:pt idx="563">
                  <c:v>1.720404085341924</c:v>
                </c:pt>
                <c:pt idx="564">
                  <c:v>1.781703118745271</c:v>
                </c:pt>
                <c:pt idx="565">
                  <c:v>1.813318515954047</c:v>
                </c:pt>
                <c:pt idx="566">
                  <c:v>1.814235283892992</c:v>
                </c:pt>
                <c:pt idx="567">
                  <c:v>1.854638556630803</c:v>
                </c:pt>
                <c:pt idx="568">
                  <c:v>1.867551887885092</c:v>
                </c:pt>
                <c:pt idx="569">
                  <c:v>1.937540571681157</c:v>
                </c:pt>
                <c:pt idx="570">
                  <c:v>1.878782295137174</c:v>
                </c:pt>
                <c:pt idx="571">
                  <c:v>1.857336473708271</c:v>
                </c:pt>
                <c:pt idx="572">
                  <c:v>1.928490762455281</c:v>
                </c:pt>
                <c:pt idx="573">
                  <c:v>1.861475026118368</c:v>
                </c:pt>
                <c:pt idx="574">
                  <c:v>1.838686794493152</c:v>
                </c:pt>
                <c:pt idx="575">
                  <c:v>1.915976880088676</c:v>
                </c:pt>
                <c:pt idx="576">
                  <c:v>1.967774268639095</c:v>
                </c:pt>
                <c:pt idx="577">
                  <c:v>1.772219176272158</c:v>
                </c:pt>
                <c:pt idx="578">
                  <c:v>1.65306093188396</c:v>
                </c:pt>
                <c:pt idx="579">
                  <c:v>1.805330801523461</c:v>
                </c:pt>
                <c:pt idx="580">
                  <c:v>1.826325864056686</c:v>
                </c:pt>
                <c:pt idx="581">
                  <c:v>1.724829310657884</c:v>
                </c:pt>
                <c:pt idx="582">
                  <c:v>1.704559226631257</c:v>
                </c:pt>
                <c:pt idx="583">
                  <c:v>1.676426385367423</c:v>
                </c:pt>
                <c:pt idx="584">
                  <c:v>1.604719579451213</c:v>
                </c:pt>
                <c:pt idx="585">
                  <c:v>1.754736314772804</c:v>
                </c:pt>
                <c:pt idx="586">
                  <c:v>1.831100571626083</c:v>
                </c:pt>
                <c:pt idx="587">
                  <c:v>1.875946657016744</c:v>
                </c:pt>
                <c:pt idx="588">
                  <c:v>1.901782912764413</c:v>
                </c:pt>
                <c:pt idx="589">
                  <c:v>1.951012541646887</c:v>
                </c:pt>
                <c:pt idx="590">
                  <c:v>1.986217095404459</c:v>
                </c:pt>
                <c:pt idx="591">
                  <c:v>1.967733424921847</c:v>
                </c:pt>
                <c:pt idx="592">
                  <c:v>1.929602595248089</c:v>
                </c:pt>
                <c:pt idx="593">
                  <c:v>1.954641508206184</c:v>
                </c:pt>
                <c:pt idx="594">
                  <c:v>1.970241049653984</c:v>
                </c:pt>
                <c:pt idx="595">
                  <c:v>1.884228899102357</c:v>
                </c:pt>
                <c:pt idx="596">
                  <c:v>1.947043965283263</c:v>
                </c:pt>
                <c:pt idx="597">
                  <c:v>1.835012042868675</c:v>
                </c:pt>
                <c:pt idx="598">
                  <c:v>1.955213216747572</c:v>
                </c:pt>
                <c:pt idx="599">
                  <c:v>1.905046191675217</c:v>
                </c:pt>
                <c:pt idx="600">
                  <c:v>1.952424434007049</c:v>
                </c:pt>
                <c:pt idx="601">
                  <c:v>1.952907023803534</c:v>
                </c:pt>
                <c:pt idx="602">
                  <c:v>1.964087093676236</c:v>
                </c:pt>
                <c:pt idx="603">
                  <c:v>2.000954678999031</c:v>
                </c:pt>
                <c:pt idx="604">
                  <c:v>1.966840436912213</c:v>
                </c:pt>
                <c:pt idx="605">
                  <c:v>1.98375383107607</c:v>
                </c:pt>
                <c:pt idx="606">
                  <c:v>2.044175381223584</c:v>
                </c:pt>
                <c:pt idx="607">
                  <c:v>1.94688012040681</c:v>
                </c:pt>
                <c:pt idx="608">
                  <c:v>1.971273875178565</c:v>
                </c:pt>
                <c:pt idx="609">
                  <c:v>2.020727297387758</c:v>
                </c:pt>
                <c:pt idx="610">
                  <c:v>2.043790101877637</c:v>
                </c:pt>
                <c:pt idx="611">
                  <c:v>2.034169370205003</c:v>
                </c:pt>
                <c:pt idx="612">
                  <c:v>1.9721493621983</c:v>
                </c:pt>
                <c:pt idx="613">
                  <c:v>1.994311303233089</c:v>
                </c:pt>
                <c:pt idx="614">
                  <c:v>2.037567187394037</c:v>
                </c:pt>
                <c:pt idx="615">
                  <c:v>2.038957203516824</c:v>
                </c:pt>
                <c:pt idx="616">
                  <c:v>2.008505481091274</c:v>
                </c:pt>
                <c:pt idx="617">
                  <c:v>1.993500569875984</c:v>
                </c:pt>
                <c:pt idx="618">
                  <c:v>2.015100729134992</c:v>
                </c:pt>
                <c:pt idx="619">
                  <c:v>2.054659966704367</c:v>
                </c:pt>
                <c:pt idx="620">
                  <c:v>2.01300104787177</c:v>
                </c:pt>
                <c:pt idx="621">
                  <c:v>1.950895285014559</c:v>
                </c:pt>
                <c:pt idx="622">
                  <c:v>1.925509661640236</c:v>
                </c:pt>
                <c:pt idx="623">
                  <c:v>2.004526631037568</c:v>
                </c:pt>
                <c:pt idx="624">
                  <c:v>1.986627931142355</c:v>
                </c:pt>
                <c:pt idx="625">
                  <c:v>1.98600402085243</c:v>
                </c:pt>
                <c:pt idx="626">
                  <c:v>1.99276290315171</c:v>
                </c:pt>
                <c:pt idx="627">
                  <c:v>1.990548152879898</c:v>
                </c:pt>
                <c:pt idx="628">
                  <c:v>1.884600948116128</c:v>
                </c:pt>
                <c:pt idx="629">
                  <c:v>1.890906266885721</c:v>
                </c:pt>
                <c:pt idx="630">
                  <c:v>1.857572131423684</c:v>
                </c:pt>
                <c:pt idx="631">
                  <c:v>1.87018990761665</c:v>
                </c:pt>
                <c:pt idx="632">
                  <c:v>1.90498450068582</c:v>
                </c:pt>
                <c:pt idx="633">
                  <c:v>1.819835621952367</c:v>
                </c:pt>
                <c:pt idx="634">
                  <c:v>1.819835621952367</c:v>
                </c:pt>
                <c:pt idx="635">
                  <c:v>1.892245530137798</c:v>
                </c:pt>
                <c:pt idx="636">
                  <c:v>1.91282056891343</c:v>
                </c:pt>
                <c:pt idx="637">
                  <c:v>1.947948118315443</c:v>
                </c:pt>
                <c:pt idx="638">
                  <c:v>1.934808812623464</c:v>
                </c:pt>
                <c:pt idx="639">
                  <c:v>1.955352474311828</c:v>
                </c:pt>
                <c:pt idx="640">
                  <c:v>1.918803719835404</c:v>
                </c:pt>
                <c:pt idx="641">
                  <c:v>1.95829995384114</c:v>
                </c:pt>
                <c:pt idx="642">
                  <c:v>1.9859392671898</c:v>
                </c:pt>
                <c:pt idx="643">
                  <c:v>1.96517915544598</c:v>
                </c:pt>
                <c:pt idx="644">
                  <c:v>1.985455364819073</c:v>
                </c:pt>
                <c:pt idx="645">
                  <c:v>1.976571862345964</c:v>
                </c:pt>
                <c:pt idx="646">
                  <c:v>2.002507891852633</c:v>
                </c:pt>
                <c:pt idx="647">
                  <c:v>1.97412522395798</c:v>
                </c:pt>
                <c:pt idx="648">
                  <c:v>1.85953136724296</c:v>
                </c:pt>
                <c:pt idx="649">
                  <c:v>1.785352546503412</c:v>
                </c:pt>
                <c:pt idx="650">
                  <c:v>1.737510090414489</c:v>
                </c:pt>
                <c:pt idx="651">
                  <c:v>1.738249069713006</c:v>
                </c:pt>
                <c:pt idx="652">
                  <c:v>1.744454656466506</c:v>
                </c:pt>
                <c:pt idx="653">
                  <c:v>1.713321393866341</c:v>
                </c:pt>
                <c:pt idx="654">
                  <c:v>1.852589599599228</c:v>
                </c:pt>
                <c:pt idx="655">
                  <c:v>1.902401463082755</c:v>
                </c:pt>
                <c:pt idx="656">
                  <c:v>1.948200627848013</c:v>
                </c:pt>
                <c:pt idx="657">
                  <c:v>1.935195977397472</c:v>
                </c:pt>
                <c:pt idx="658">
                  <c:v>1.990350687460759</c:v>
                </c:pt>
                <c:pt idx="659">
                  <c:v>1.95292621276391</c:v>
                </c:pt>
                <c:pt idx="660">
                  <c:v>1.974885668220609</c:v>
                </c:pt>
                <c:pt idx="661">
                  <c:v>1.939557426216921</c:v>
                </c:pt>
                <c:pt idx="662">
                  <c:v>1.958058632691412</c:v>
                </c:pt>
                <c:pt idx="663">
                  <c:v>1.957999901119407</c:v>
                </c:pt>
                <c:pt idx="664">
                  <c:v>1.951962050853501</c:v>
                </c:pt>
                <c:pt idx="665">
                  <c:v>1.914258442368147</c:v>
                </c:pt>
                <c:pt idx="666">
                  <c:v>1.912961458882518</c:v>
                </c:pt>
                <c:pt idx="667">
                  <c:v>1.889805332989148</c:v>
                </c:pt>
                <c:pt idx="668">
                  <c:v>1.929500774637565</c:v>
                </c:pt>
                <c:pt idx="669">
                  <c:v>1.920337159195567</c:v>
                </c:pt>
                <c:pt idx="670">
                  <c:v>1.907391650715244</c:v>
                </c:pt>
                <c:pt idx="671">
                  <c:v>1.876179103380535</c:v>
                </c:pt>
                <c:pt idx="672">
                  <c:v>1.912055581393822</c:v>
                </c:pt>
                <c:pt idx="673">
                  <c:v>1.917413311690443</c:v>
                </c:pt>
                <c:pt idx="674">
                  <c:v>1.910584925084825</c:v>
                </c:pt>
                <c:pt idx="675">
                  <c:v>1.971180139001612</c:v>
                </c:pt>
                <c:pt idx="676">
                  <c:v>1.967598661174273</c:v>
                </c:pt>
                <c:pt idx="677">
                  <c:v>1.979051832244262</c:v>
                </c:pt>
                <c:pt idx="678">
                  <c:v>1.974133579805609</c:v>
                </c:pt>
                <c:pt idx="679">
                  <c:v>1.996224605954274</c:v>
                </c:pt>
                <c:pt idx="680">
                  <c:v>1.99166825211051</c:v>
                </c:pt>
                <c:pt idx="681">
                  <c:v>1.994995661067079</c:v>
                </c:pt>
                <c:pt idx="682">
                  <c:v>2.032873510282926</c:v>
                </c:pt>
                <c:pt idx="683">
                  <c:v>2.034848521056972</c:v>
                </c:pt>
                <c:pt idx="684">
                  <c:v>2.007845200681664</c:v>
                </c:pt>
                <c:pt idx="685">
                  <c:v>2.043404378747672</c:v>
                </c:pt>
                <c:pt idx="686">
                  <c:v>2.020866462634292</c:v>
                </c:pt>
                <c:pt idx="687">
                  <c:v>2.038341201924234</c:v>
                </c:pt>
                <c:pt idx="688">
                  <c:v>1.982399441280897</c:v>
                </c:pt>
                <c:pt idx="689">
                  <c:v>1.944117880980143</c:v>
                </c:pt>
                <c:pt idx="690">
                  <c:v>2.021560314317779</c:v>
                </c:pt>
                <c:pt idx="691">
                  <c:v>2.038434687399506</c:v>
                </c:pt>
                <c:pt idx="692">
                  <c:v>2.026924909377687</c:v>
                </c:pt>
                <c:pt idx="693">
                  <c:v>2.016438081716496</c:v>
                </c:pt>
                <c:pt idx="694">
                  <c:v>1.982399441280897</c:v>
                </c:pt>
                <c:pt idx="695">
                  <c:v>1.944117880980143</c:v>
                </c:pt>
                <c:pt idx="696">
                  <c:v>2.021560314317779</c:v>
                </c:pt>
                <c:pt idx="697">
                  <c:v>2.038434687399506</c:v>
                </c:pt>
                <c:pt idx="698">
                  <c:v>2.026924909377687</c:v>
                </c:pt>
                <c:pt idx="699">
                  <c:v>2.016438081716496</c:v>
                </c:pt>
                <c:pt idx="700">
                  <c:v>2.028873494532035</c:v>
                </c:pt>
                <c:pt idx="701">
                  <c:v>2.048908535014012</c:v>
                </c:pt>
                <c:pt idx="702">
                  <c:v>2.044143949579649</c:v>
                </c:pt>
                <c:pt idx="703">
                  <c:v>2.101314708050674</c:v>
                </c:pt>
                <c:pt idx="704">
                  <c:v>2.071430396594307</c:v>
                </c:pt>
                <c:pt idx="705">
                  <c:v>2.083989530470317</c:v>
                </c:pt>
                <c:pt idx="706">
                  <c:v>2.133089248048092</c:v>
                </c:pt>
                <c:pt idx="707">
                  <c:v>2.156707845912534</c:v>
                </c:pt>
                <c:pt idx="708">
                  <c:v>2.180646032416209</c:v>
                </c:pt>
                <c:pt idx="709">
                  <c:v>2.15329964144847</c:v>
                </c:pt>
                <c:pt idx="710">
                  <c:v>2.174626283861681</c:v>
                </c:pt>
                <c:pt idx="711">
                  <c:v>2.145154053776166</c:v>
                </c:pt>
                <c:pt idx="712">
                  <c:v>2.16699986174218</c:v>
                </c:pt>
                <c:pt idx="713">
                  <c:v>2.156247377367282</c:v>
                </c:pt>
                <c:pt idx="714">
                  <c:v>2.121049234659836</c:v>
                </c:pt>
                <c:pt idx="715">
                  <c:v>2.168261740429693</c:v>
                </c:pt>
                <c:pt idx="716">
                  <c:v>2.2420212702656</c:v>
                </c:pt>
                <c:pt idx="717">
                  <c:v>2.25171789454341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CF-4639-9ADF-946A7AEF64D7}"/>
            </c:ext>
          </c:extLst>
        </c:ser>
        <c:ser>
          <c:idx val="1"/>
          <c:order val="1"/>
          <c:tx>
            <c:v>S&amp;P 500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Data!$B$4:$B$721</c:f>
              <c:numCache>
                <c:formatCode>m/d/yy</c:formatCode>
                <c:ptCount val="718"/>
                <c:pt idx="0">
                  <c:v>37750.0</c:v>
                </c:pt>
                <c:pt idx="1">
                  <c:v>37757.0</c:v>
                </c:pt>
                <c:pt idx="2">
                  <c:v>37764.0</c:v>
                </c:pt>
                <c:pt idx="3">
                  <c:v>37771.0</c:v>
                </c:pt>
                <c:pt idx="4">
                  <c:v>37778.0</c:v>
                </c:pt>
                <c:pt idx="5">
                  <c:v>37785.0</c:v>
                </c:pt>
                <c:pt idx="6">
                  <c:v>37792.0</c:v>
                </c:pt>
                <c:pt idx="7">
                  <c:v>37799.0</c:v>
                </c:pt>
                <c:pt idx="8">
                  <c:v>37806.0</c:v>
                </c:pt>
                <c:pt idx="9">
                  <c:v>37813.0</c:v>
                </c:pt>
                <c:pt idx="10">
                  <c:v>37820.0</c:v>
                </c:pt>
                <c:pt idx="11">
                  <c:v>37827.0</c:v>
                </c:pt>
                <c:pt idx="12">
                  <c:v>37834.0</c:v>
                </c:pt>
                <c:pt idx="13">
                  <c:v>37841.0</c:v>
                </c:pt>
                <c:pt idx="14">
                  <c:v>37848.0</c:v>
                </c:pt>
                <c:pt idx="15">
                  <c:v>37855.0</c:v>
                </c:pt>
                <c:pt idx="16">
                  <c:v>37862.0</c:v>
                </c:pt>
                <c:pt idx="17">
                  <c:v>37869.0</c:v>
                </c:pt>
                <c:pt idx="18">
                  <c:v>37876.0</c:v>
                </c:pt>
                <c:pt idx="19">
                  <c:v>37883.0</c:v>
                </c:pt>
                <c:pt idx="20">
                  <c:v>37890.0</c:v>
                </c:pt>
                <c:pt idx="21">
                  <c:v>37897.0</c:v>
                </c:pt>
                <c:pt idx="22">
                  <c:v>37904.0</c:v>
                </c:pt>
                <c:pt idx="23">
                  <c:v>37911.0</c:v>
                </c:pt>
                <c:pt idx="24">
                  <c:v>37918.0</c:v>
                </c:pt>
                <c:pt idx="25">
                  <c:v>37925.0</c:v>
                </c:pt>
                <c:pt idx="26">
                  <c:v>37932.0</c:v>
                </c:pt>
                <c:pt idx="27">
                  <c:v>37939.0</c:v>
                </c:pt>
                <c:pt idx="28">
                  <c:v>37946.0</c:v>
                </c:pt>
                <c:pt idx="29">
                  <c:v>37953.0</c:v>
                </c:pt>
                <c:pt idx="30">
                  <c:v>37960.0</c:v>
                </c:pt>
                <c:pt idx="31">
                  <c:v>37967.0</c:v>
                </c:pt>
                <c:pt idx="32">
                  <c:v>37974.0</c:v>
                </c:pt>
                <c:pt idx="33">
                  <c:v>37981.0</c:v>
                </c:pt>
                <c:pt idx="34">
                  <c:v>37988.0</c:v>
                </c:pt>
                <c:pt idx="35">
                  <c:v>37995.0</c:v>
                </c:pt>
                <c:pt idx="36">
                  <c:v>38002.0</c:v>
                </c:pt>
                <c:pt idx="37">
                  <c:v>38009.0</c:v>
                </c:pt>
                <c:pt idx="38">
                  <c:v>38016.0</c:v>
                </c:pt>
                <c:pt idx="39">
                  <c:v>38023.0</c:v>
                </c:pt>
                <c:pt idx="40">
                  <c:v>38030.0</c:v>
                </c:pt>
                <c:pt idx="41">
                  <c:v>38037.0</c:v>
                </c:pt>
                <c:pt idx="42">
                  <c:v>38044.0</c:v>
                </c:pt>
                <c:pt idx="43">
                  <c:v>38051.0</c:v>
                </c:pt>
                <c:pt idx="44">
                  <c:v>38058.0</c:v>
                </c:pt>
                <c:pt idx="45">
                  <c:v>38065.0</c:v>
                </c:pt>
                <c:pt idx="46">
                  <c:v>38072.0</c:v>
                </c:pt>
                <c:pt idx="47">
                  <c:v>38079.0</c:v>
                </c:pt>
                <c:pt idx="48">
                  <c:v>38086.0</c:v>
                </c:pt>
                <c:pt idx="49">
                  <c:v>38093.0</c:v>
                </c:pt>
                <c:pt idx="50">
                  <c:v>38100.0</c:v>
                </c:pt>
                <c:pt idx="51">
                  <c:v>38107.0</c:v>
                </c:pt>
                <c:pt idx="52">
                  <c:v>38114.0</c:v>
                </c:pt>
                <c:pt idx="53">
                  <c:v>38121.0</c:v>
                </c:pt>
                <c:pt idx="54">
                  <c:v>38128.0</c:v>
                </c:pt>
                <c:pt idx="55">
                  <c:v>38135.0</c:v>
                </c:pt>
                <c:pt idx="56">
                  <c:v>38142.0</c:v>
                </c:pt>
                <c:pt idx="57">
                  <c:v>38149.0</c:v>
                </c:pt>
                <c:pt idx="58">
                  <c:v>38156.0</c:v>
                </c:pt>
                <c:pt idx="59">
                  <c:v>38163.0</c:v>
                </c:pt>
                <c:pt idx="60">
                  <c:v>38170.0</c:v>
                </c:pt>
                <c:pt idx="61">
                  <c:v>38177.0</c:v>
                </c:pt>
                <c:pt idx="62">
                  <c:v>38184.0</c:v>
                </c:pt>
                <c:pt idx="63">
                  <c:v>38191.0</c:v>
                </c:pt>
                <c:pt idx="64">
                  <c:v>38198.0</c:v>
                </c:pt>
                <c:pt idx="65">
                  <c:v>38205.0</c:v>
                </c:pt>
                <c:pt idx="66">
                  <c:v>38212.0</c:v>
                </c:pt>
                <c:pt idx="67">
                  <c:v>38219.0</c:v>
                </c:pt>
                <c:pt idx="68">
                  <c:v>38226.0</c:v>
                </c:pt>
                <c:pt idx="69">
                  <c:v>38233.0</c:v>
                </c:pt>
                <c:pt idx="70">
                  <c:v>38240.0</c:v>
                </c:pt>
                <c:pt idx="71">
                  <c:v>38247.0</c:v>
                </c:pt>
                <c:pt idx="72">
                  <c:v>38254.0</c:v>
                </c:pt>
                <c:pt idx="73">
                  <c:v>38261.0</c:v>
                </c:pt>
                <c:pt idx="74">
                  <c:v>38268.0</c:v>
                </c:pt>
                <c:pt idx="75">
                  <c:v>38275.0</c:v>
                </c:pt>
                <c:pt idx="76">
                  <c:v>38282.0</c:v>
                </c:pt>
                <c:pt idx="77">
                  <c:v>38289.0</c:v>
                </c:pt>
                <c:pt idx="78">
                  <c:v>38296.0</c:v>
                </c:pt>
                <c:pt idx="79">
                  <c:v>38303.0</c:v>
                </c:pt>
                <c:pt idx="80">
                  <c:v>38310.0</c:v>
                </c:pt>
                <c:pt idx="81">
                  <c:v>38317.0</c:v>
                </c:pt>
                <c:pt idx="82">
                  <c:v>38324.0</c:v>
                </c:pt>
                <c:pt idx="83">
                  <c:v>38331.0</c:v>
                </c:pt>
                <c:pt idx="84">
                  <c:v>38338.0</c:v>
                </c:pt>
                <c:pt idx="85">
                  <c:v>38345.0</c:v>
                </c:pt>
                <c:pt idx="86">
                  <c:v>38352.0</c:v>
                </c:pt>
                <c:pt idx="87">
                  <c:v>38359.0</c:v>
                </c:pt>
                <c:pt idx="88">
                  <c:v>38366.0</c:v>
                </c:pt>
                <c:pt idx="89">
                  <c:v>38373.0</c:v>
                </c:pt>
                <c:pt idx="90">
                  <c:v>38380.0</c:v>
                </c:pt>
                <c:pt idx="91">
                  <c:v>38387.0</c:v>
                </c:pt>
                <c:pt idx="92">
                  <c:v>38394.0</c:v>
                </c:pt>
                <c:pt idx="93">
                  <c:v>38401.0</c:v>
                </c:pt>
                <c:pt idx="94">
                  <c:v>38408.0</c:v>
                </c:pt>
                <c:pt idx="95">
                  <c:v>38415.0</c:v>
                </c:pt>
                <c:pt idx="96">
                  <c:v>38422.0</c:v>
                </c:pt>
                <c:pt idx="97">
                  <c:v>38429.0</c:v>
                </c:pt>
                <c:pt idx="98">
                  <c:v>38436.0</c:v>
                </c:pt>
                <c:pt idx="99">
                  <c:v>38443.0</c:v>
                </c:pt>
                <c:pt idx="100">
                  <c:v>38450.0</c:v>
                </c:pt>
                <c:pt idx="101">
                  <c:v>38457.0</c:v>
                </c:pt>
                <c:pt idx="102">
                  <c:v>38464.0</c:v>
                </c:pt>
                <c:pt idx="103">
                  <c:v>38471.0</c:v>
                </c:pt>
                <c:pt idx="104">
                  <c:v>38478.0</c:v>
                </c:pt>
                <c:pt idx="105">
                  <c:v>38485.0</c:v>
                </c:pt>
                <c:pt idx="106">
                  <c:v>38492.0</c:v>
                </c:pt>
                <c:pt idx="107">
                  <c:v>38499.0</c:v>
                </c:pt>
                <c:pt idx="108">
                  <c:v>38506.0</c:v>
                </c:pt>
                <c:pt idx="109">
                  <c:v>38513.0</c:v>
                </c:pt>
                <c:pt idx="110">
                  <c:v>38520.0</c:v>
                </c:pt>
                <c:pt idx="111">
                  <c:v>38527.0</c:v>
                </c:pt>
                <c:pt idx="112">
                  <c:v>38534.0</c:v>
                </c:pt>
                <c:pt idx="113">
                  <c:v>38541.0</c:v>
                </c:pt>
                <c:pt idx="114">
                  <c:v>38548.0</c:v>
                </c:pt>
                <c:pt idx="115">
                  <c:v>38555.0</c:v>
                </c:pt>
                <c:pt idx="116">
                  <c:v>38562.0</c:v>
                </c:pt>
                <c:pt idx="117">
                  <c:v>38569.0</c:v>
                </c:pt>
                <c:pt idx="118">
                  <c:v>38576.0</c:v>
                </c:pt>
                <c:pt idx="119">
                  <c:v>38583.0</c:v>
                </c:pt>
                <c:pt idx="120">
                  <c:v>38590.0</c:v>
                </c:pt>
                <c:pt idx="121">
                  <c:v>38597.0</c:v>
                </c:pt>
                <c:pt idx="122">
                  <c:v>38604.0</c:v>
                </c:pt>
                <c:pt idx="123">
                  <c:v>38611.0</c:v>
                </c:pt>
                <c:pt idx="124">
                  <c:v>38618.0</c:v>
                </c:pt>
                <c:pt idx="125">
                  <c:v>38625.0</c:v>
                </c:pt>
                <c:pt idx="126">
                  <c:v>38632.0</c:v>
                </c:pt>
                <c:pt idx="127">
                  <c:v>38639.0</c:v>
                </c:pt>
                <c:pt idx="128">
                  <c:v>38646.0</c:v>
                </c:pt>
                <c:pt idx="129">
                  <c:v>38653.0</c:v>
                </c:pt>
                <c:pt idx="130">
                  <c:v>38660.0</c:v>
                </c:pt>
                <c:pt idx="131">
                  <c:v>38667.0</c:v>
                </c:pt>
                <c:pt idx="132">
                  <c:v>38674.0</c:v>
                </c:pt>
                <c:pt idx="133">
                  <c:v>38681.0</c:v>
                </c:pt>
                <c:pt idx="134">
                  <c:v>38688.0</c:v>
                </c:pt>
                <c:pt idx="135">
                  <c:v>38695.0</c:v>
                </c:pt>
                <c:pt idx="136">
                  <c:v>38702.0</c:v>
                </c:pt>
                <c:pt idx="137">
                  <c:v>38709.0</c:v>
                </c:pt>
                <c:pt idx="138">
                  <c:v>38716.0</c:v>
                </c:pt>
                <c:pt idx="139">
                  <c:v>38723.0</c:v>
                </c:pt>
                <c:pt idx="140">
                  <c:v>38730.0</c:v>
                </c:pt>
                <c:pt idx="141">
                  <c:v>38737.0</c:v>
                </c:pt>
                <c:pt idx="142">
                  <c:v>38744.0</c:v>
                </c:pt>
                <c:pt idx="143">
                  <c:v>38751.0</c:v>
                </c:pt>
                <c:pt idx="144">
                  <c:v>38758.0</c:v>
                </c:pt>
                <c:pt idx="145">
                  <c:v>38765.0</c:v>
                </c:pt>
                <c:pt idx="146">
                  <c:v>38772.0</c:v>
                </c:pt>
                <c:pt idx="147">
                  <c:v>38779.0</c:v>
                </c:pt>
                <c:pt idx="148">
                  <c:v>38786.0</c:v>
                </c:pt>
                <c:pt idx="149">
                  <c:v>38793.0</c:v>
                </c:pt>
                <c:pt idx="150">
                  <c:v>38800.0</c:v>
                </c:pt>
                <c:pt idx="151">
                  <c:v>38807.0</c:v>
                </c:pt>
                <c:pt idx="152">
                  <c:v>38814.0</c:v>
                </c:pt>
                <c:pt idx="153">
                  <c:v>38821.0</c:v>
                </c:pt>
                <c:pt idx="154">
                  <c:v>38828.0</c:v>
                </c:pt>
                <c:pt idx="155">
                  <c:v>38835.0</c:v>
                </c:pt>
                <c:pt idx="156">
                  <c:v>38842.0</c:v>
                </c:pt>
                <c:pt idx="157">
                  <c:v>38849.0</c:v>
                </c:pt>
                <c:pt idx="158">
                  <c:v>38856.0</c:v>
                </c:pt>
                <c:pt idx="159">
                  <c:v>38863.0</c:v>
                </c:pt>
                <c:pt idx="160">
                  <c:v>38870.0</c:v>
                </c:pt>
                <c:pt idx="161">
                  <c:v>38877.0</c:v>
                </c:pt>
                <c:pt idx="162">
                  <c:v>38884.0</c:v>
                </c:pt>
                <c:pt idx="163">
                  <c:v>38891.0</c:v>
                </c:pt>
                <c:pt idx="164">
                  <c:v>38898.0</c:v>
                </c:pt>
                <c:pt idx="165">
                  <c:v>38905.0</c:v>
                </c:pt>
                <c:pt idx="166">
                  <c:v>38912.0</c:v>
                </c:pt>
                <c:pt idx="167">
                  <c:v>38919.0</c:v>
                </c:pt>
                <c:pt idx="168">
                  <c:v>38926.0</c:v>
                </c:pt>
                <c:pt idx="169">
                  <c:v>38933.0</c:v>
                </c:pt>
                <c:pt idx="170">
                  <c:v>38940.0</c:v>
                </c:pt>
                <c:pt idx="171">
                  <c:v>38947.0</c:v>
                </c:pt>
                <c:pt idx="172">
                  <c:v>38954.0</c:v>
                </c:pt>
                <c:pt idx="173">
                  <c:v>38961.0</c:v>
                </c:pt>
                <c:pt idx="174">
                  <c:v>38968.0</c:v>
                </c:pt>
                <c:pt idx="175">
                  <c:v>38975.0</c:v>
                </c:pt>
                <c:pt idx="176">
                  <c:v>38982.0</c:v>
                </c:pt>
                <c:pt idx="177">
                  <c:v>38989.0</c:v>
                </c:pt>
                <c:pt idx="178">
                  <c:v>38996.0</c:v>
                </c:pt>
                <c:pt idx="179">
                  <c:v>39003.0</c:v>
                </c:pt>
                <c:pt idx="180">
                  <c:v>39010.0</c:v>
                </c:pt>
                <c:pt idx="181">
                  <c:v>39017.0</c:v>
                </c:pt>
                <c:pt idx="182">
                  <c:v>39024.0</c:v>
                </c:pt>
                <c:pt idx="183">
                  <c:v>39031.0</c:v>
                </c:pt>
                <c:pt idx="184">
                  <c:v>39038.0</c:v>
                </c:pt>
                <c:pt idx="185">
                  <c:v>39045.0</c:v>
                </c:pt>
                <c:pt idx="186">
                  <c:v>39052.0</c:v>
                </c:pt>
                <c:pt idx="187">
                  <c:v>39059.0</c:v>
                </c:pt>
                <c:pt idx="188">
                  <c:v>39066.0</c:v>
                </c:pt>
                <c:pt idx="189">
                  <c:v>39073.0</c:v>
                </c:pt>
                <c:pt idx="190">
                  <c:v>39080.0</c:v>
                </c:pt>
                <c:pt idx="191">
                  <c:v>39087.0</c:v>
                </c:pt>
                <c:pt idx="192">
                  <c:v>39094.0</c:v>
                </c:pt>
                <c:pt idx="193">
                  <c:v>39101.0</c:v>
                </c:pt>
                <c:pt idx="194">
                  <c:v>39108.0</c:v>
                </c:pt>
                <c:pt idx="195">
                  <c:v>39115.0</c:v>
                </c:pt>
                <c:pt idx="196">
                  <c:v>39122.0</c:v>
                </c:pt>
                <c:pt idx="197">
                  <c:v>39129.0</c:v>
                </c:pt>
                <c:pt idx="198">
                  <c:v>39136.0</c:v>
                </c:pt>
                <c:pt idx="199">
                  <c:v>39143.0</c:v>
                </c:pt>
                <c:pt idx="200">
                  <c:v>39150.0</c:v>
                </c:pt>
                <c:pt idx="201">
                  <c:v>39157.0</c:v>
                </c:pt>
                <c:pt idx="202">
                  <c:v>39164.0</c:v>
                </c:pt>
                <c:pt idx="203">
                  <c:v>39171.0</c:v>
                </c:pt>
                <c:pt idx="204">
                  <c:v>39178.0</c:v>
                </c:pt>
                <c:pt idx="205">
                  <c:v>39185.0</c:v>
                </c:pt>
                <c:pt idx="206">
                  <c:v>39192.0</c:v>
                </c:pt>
                <c:pt idx="207">
                  <c:v>39199.0</c:v>
                </c:pt>
                <c:pt idx="208">
                  <c:v>39206.0</c:v>
                </c:pt>
                <c:pt idx="209">
                  <c:v>39213.0</c:v>
                </c:pt>
                <c:pt idx="210">
                  <c:v>39220.0</c:v>
                </c:pt>
                <c:pt idx="211">
                  <c:v>39227.0</c:v>
                </c:pt>
                <c:pt idx="212">
                  <c:v>39234.0</c:v>
                </c:pt>
                <c:pt idx="213">
                  <c:v>39241.0</c:v>
                </c:pt>
                <c:pt idx="214">
                  <c:v>39248.0</c:v>
                </c:pt>
                <c:pt idx="215">
                  <c:v>39255.0</c:v>
                </c:pt>
                <c:pt idx="216">
                  <c:v>39262.0</c:v>
                </c:pt>
                <c:pt idx="217">
                  <c:v>39269.0</c:v>
                </c:pt>
                <c:pt idx="218">
                  <c:v>39276.0</c:v>
                </c:pt>
                <c:pt idx="219">
                  <c:v>39283.0</c:v>
                </c:pt>
                <c:pt idx="220">
                  <c:v>39290.0</c:v>
                </c:pt>
                <c:pt idx="221">
                  <c:v>39297.0</c:v>
                </c:pt>
                <c:pt idx="222">
                  <c:v>39304.0</c:v>
                </c:pt>
                <c:pt idx="223">
                  <c:v>39311.0</c:v>
                </c:pt>
                <c:pt idx="224">
                  <c:v>39318.0</c:v>
                </c:pt>
                <c:pt idx="225">
                  <c:v>39325.0</c:v>
                </c:pt>
                <c:pt idx="226">
                  <c:v>39332.0</c:v>
                </c:pt>
                <c:pt idx="227">
                  <c:v>39339.0</c:v>
                </c:pt>
                <c:pt idx="228">
                  <c:v>39346.0</c:v>
                </c:pt>
                <c:pt idx="229">
                  <c:v>39353.0</c:v>
                </c:pt>
                <c:pt idx="230">
                  <c:v>39360.0</c:v>
                </c:pt>
                <c:pt idx="231">
                  <c:v>39367.0</c:v>
                </c:pt>
                <c:pt idx="232">
                  <c:v>39374.0</c:v>
                </c:pt>
                <c:pt idx="233">
                  <c:v>39381.0</c:v>
                </c:pt>
                <c:pt idx="234">
                  <c:v>39388.0</c:v>
                </c:pt>
                <c:pt idx="235">
                  <c:v>39405.0</c:v>
                </c:pt>
                <c:pt idx="236">
                  <c:v>39417.0</c:v>
                </c:pt>
                <c:pt idx="237">
                  <c:v>39438.0</c:v>
                </c:pt>
                <c:pt idx="238">
                  <c:v>39452.0</c:v>
                </c:pt>
                <c:pt idx="239">
                  <c:v>39459.0</c:v>
                </c:pt>
                <c:pt idx="240">
                  <c:v>39466.0</c:v>
                </c:pt>
                <c:pt idx="241">
                  <c:v>39480.0</c:v>
                </c:pt>
                <c:pt idx="242">
                  <c:v>39487.0</c:v>
                </c:pt>
                <c:pt idx="243">
                  <c:v>39496.0</c:v>
                </c:pt>
                <c:pt idx="244">
                  <c:v>39503.0</c:v>
                </c:pt>
                <c:pt idx="245">
                  <c:v>39510.0</c:v>
                </c:pt>
                <c:pt idx="246">
                  <c:v>39517.0</c:v>
                </c:pt>
                <c:pt idx="247">
                  <c:v>39531.0</c:v>
                </c:pt>
                <c:pt idx="248">
                  <c:v>39538.0</c:v>
                </c:pt>
                <c:pt idx="249">
                  <c:v>39549.0</c:v>
                </c:pt>
                <c:pt idx="250">
                  <c:v>39556.0</c:v>
                </c:pt>
                <c:pt idx="251">
                  <c:v>39571.0</c:v>
                </c:pt>
                <c:pt idx="252">
                  <c:v>39585.0</c:v>
                </c:pt>
                <c:pt idx="253">
                  <c:v>39592.0</c:v>
                </c:pt>
                <c:pt idx="254">
                  <c:v>39599.0</c:v>
                </c:pt>
                <c:pt idx="255">
                  <c:v>39606.0</c:v>
                </c:pt>
                <c:pt idx="256">
                  <c:v>39620.0</c:v>
                </c:pt>
                <c:pt idx="257">
                  <c:v>39639.0</c:v>
                </c:pt>
                <c:pt idx="258">
                  <c:v>39646.0</c:v>
                </c:pt>
                <c:pt idx="259">
                  <c:v>39653.0</c:v>
                </c:pt>
                <c:pt idx="260">
                  <c:v>39660.0</c:v>
                </c:pt>
                <c:pt idx="261">
                  <c:v>39667.0</c:v>
                </c:pt>
                <c:pt idx="262">
                  <c:v>39674.0</c:v>
                </c:pt>
                <c:pt idx="263">
                  <c:v>39681.0</c:v>
                </c:pt>
                <c:pt idx="264">
                  <c:v>39688.0</c:v>
                </c:pt>
                <c:pt idx="265">
                  <c:v>39695.0</c:v>
                </c:pt>
                <c:pt idx="266">
                  <c:v>39702.0</c:v>
                </c:pt>
                <c:pt idx="267">
                  <c:v>39709.0</c:v>
                </c:pt>
                <c:pt idx="268">
                  <c:v>39716.0</c:v>
                </c:pt>
                <c:pt idx="269">
                  <c:v>39723.0</c:v>
                </c:pt>
                <c:pt idx="270">
                  <c:v>39730.0</c:v>
                </c:pt>
                <c:pt idx="271">
                  <c:v>39737.0</c:v>
                </c:pt>
                <c:pt idx="272">
                  <c:v>39744.0</c:v>
                </c:pt>
                <c:pt idx="273">
                  <c:v>39751.0</c:v>
                </c:pt>
                <c:pt idx="274">
                  <c:v>39758.0</c:v>
                </c:pt>
                <c:pt idx="275">
                  <c:v>39765.0</c:v>
                </c:pt>
                <c:pt idx="276">
                  <c:v>39772.0</c:v>
                </c:pt>
                <c:pt idx="277">
                  <c:v>39779.0</c:v>
                </c:pt>
                <c:pt idx="278">
                  <c:v>39786.0</c:v>
                </c:pt>
                <c:pt idx="279">
                  <c:v>39793.0</c:v>
                </c:pt>
                <c:pt idx="280">
                  <c:v>39800.0</c:v>
                </c:pt>
                <c:pt idx="281">
                  <c:v>39807.0</c:v>
                </c:pt>
                <c:pt idx="282">
                  <c:v>39814.0</c:v>
                </c:pt>
                <c:pt idx="283">
                  <c:v>39821.0</c:v>
                </c:pt>
                <c:pt idx="284">
                  <c:v>39828.0</c:v>
                </c:pt>
                <c:pt idx="285">
                  <c:v>39835.0</c:v>
                </c:pt>
                <c:pt idx="286">
                  <c:v>39842.0</c:v>
                </c:pt>
                <c:pt idx="287">
                  <c:v>39849.0</c:v>
                </c:pt>
                <c:pt idx="288">
                  <c:v>39856.0</c:v>
                </c:pt>
                <c:pt idx="289">
                  <c:v>39863.0</c:v>
                </c:pt>
                <c:pt idx="290">
                  <c:v>39870.0</c:v>
                </c:pt>
                <c:pt idx="291">
                  <c:v>39877.0</c:v>
                </c:pt>
                <c:pt idx="292">
                  <c:v>39884.0</c:v>
                </c:pt>
                <c:pt idx="293">
                  <c:v>39891.0</c:v>
                </c:pt>
                <c:pt idx="294">
                  <c:v>39898.0</c:v>
                </c:pt>
                <c:pt idx="295">
                  <c:v>39905.0</c:v>
                </c:pt>
                <c:pt idx="296">
                  <c:v>39912.0</c:v>
                </c:pt>
                <c:pt idx="297">
                  <c:v>39919.0</c:v>
                </c:pt>
                <c:pt idx="298">
                  <c:v>39926.0</c:v>
                </c:pt>
                <c:pt idx="299">
                  <c:v>39933.0</c:v>
                </c:pt>
                <c:pt idx="300">
                  <c:v>39940.0</c:v>
                </c:pt>
                <c:pt idx="301">
                  <c:v>39947.0</c:v>
                </c:pt>
                <c:pt idx="302">
                  <c:v>39954.0</c:v>
                </c:pt>
                <c:pt idx="303">
                  <c:v>39961.0</c:v>
                </c:pt>
                <c:pt idx="304">
                  <c:v>39968.0</c:v>
                </c:pt>
                <c:pt idx="305">
                  <c:v>39975.0</c:v>
                </c:pt>
                <c:pt idx="306">
                  <c:v>39982.0</c:v>
                </c:pt>
                <c:pt idx="307">
                  <c:v>39989.0</c:v>
                </c:pt>
                <c:pt idx="308">
                  <c:v>39996.0</c:v>
                </c:pt>
                <c:pt idx="309">
                  <c:v>40003.0</c:v>
                </c:pt>
                <c:pt idx="310">
                  <c:v>40010.0</c:v>
                </c:pt>
                <c:pt idx="311">
                  <c:v>40017.0</c:v>
                </c:pt>
                <c:pt idx="312">
                  <c:v>40024.0</c:v>
                </c:pt>
                <c:pt idx="313">
                  <c:v>40031.0</c:v>
                </c:pt>
                <c:pt idx="314">
                  <c:v>40038.0</c:v>
                </c:pt>
                <c:pt idx="315">
                  <c:v>40045.0</c:v>
                </c:pt>
                <c:pt idx="316">
                  <c:v>40052.0</c:v>
                </c:pt>
                <c:pt idx="317">
                  <c:v>40059.0</c:v>
                </c:pt>
                <c:pt idx="318">
                  <c:v>40066.0</c:v>
                </c:pt>
                <c:pt idx="319">
                  <c:v>40073.0</c:v>
                </c:pt>
                <c:pt idx="320">
                  <c:v>40080.0</c:v>
                </c:pt>
                <c:pt idx="321">
                  <c:v>40087.0</c:v>
                </c:pt>
                <c:pt idx="322">
                  <c:v>40094.0</c:v>
                </c:pt>
                <c:pt idx="323">
                  <c:v>40101.0</c:v>
                </c:pt>
                <c:pt idx="324">
                  <c:v>40108.0</c:v>
                </c:pt>
                <c:pt idx="325">
                  <c:v>40115.0</c:v>
                </c:pt>
                <c:pt idx="326">
                  <c:v>40122.0</c:v>
                </c:pt>
                <c:pt idx="327">
                  <c:v>40129.0</c:v>
                </c:pt>
                <c:pt idx="328">
                  <c:v>40136.0</c:v>
                </c:pt>
                <c:pt idx="329">
                  <c:v>40143.0</c:v>
                </c:pt>
                <c:pt idx="330">
                  <c:v>40150.0</c:v>
                </c:pt>
                <c:pt idx="331">
                  <c:v>40157.0</c:v>
                </c:pt>
                <c:pt idx="332">
                  <c:v>40164.0</c:v>
                </c:pt>
                <c:pt idx="333">
                  <c:v>40171.0</c:v>
                </c:pt>
                <c:pt idx="334">
                  <c:v>40178.0</c:v>
                </c:pt>
                <c:pt idx="335">
                  <c:v>40185.0</c:v>
                </c:pt>
                <c:pt idx="336">
                  <c:v>40192.0</c:v>
                </c:pt>
                <c:pt idx="337">
                  <c:v>40199.0</c:v>
                </c:pt>
                <c:pt idx="338">
                  <c:v>40206.0</c:v>
                </c:pt>
                <c:pt idx="339">
                  <c:v>40213.0</c:v>
                </c:pt>
                <c:pt idx="340">
                  <c:v>40220.0</c:v>
                </c:pt>
                <c:pt idx="341">
                  <c:v>40227.0</c:v>
                </c:pt>
                <c:pt idx="342">
                  <c:v>40234.0</c:v>
                </c:pt>
                <c:pt idx="343">
                  <c:v>40241.0</c:v>
                </c:pt>
                <c:pt idx="344">
                  <c:v>40248.0</c:v>
                </c:pt>
                <c:pt idx="345">
                  <c:v>40255.0</c:v>
                </c:pt>
                <c:pt idx="346">
                  <c:v>40262.0</c:v>
                </c:pt>
                <c:pt idx="347">
                  <c:v>40269.0</c:v>
                </c:pt>
                <c:pt idx="348">
                  <c:v>40276.0</c:v>
                </c:pt>
                <c:pt idx="349">
                  <c:v>40283.0</c:v>
                </c:pt>
                <c:pt idx="350">
                  <c:v>40290.0</c:v>
                </c:pt>
                <c:pt idx="351">
                  <c:v>40297.0</c:v>
                </c:pt>
                <c:pt idx="352">
                  <c:v>40304.0</c:v>
                </c:pt>
                <c:pt idx="353">
                  <c:v>40311.0</c:v>
                </c:pt>
                <c:pt idx="354">
                  <c:v>40318.0</c:v>
                </c:pt>
                <c:pt idx="355">
                  <c:v>40325.0</c:v>
                </c:pt>
                <c:pt idx="356">
                  <c:v>40332.0</c:v>
                </c:pt>
                <c:pt idx="357">
                  <c:v>40339.0</c:v>
                </c:pt>
                <c:pt idx="358">
                  <c:v>40346.0</c:v>
                </c:pt>
                <c:pt idx="359">
                  <c:v>40353.0</c:v>
                </c:pt>
                <c:pt idx="360">
                  <c:v>40360.0</c:v>
                </c:pt>
                <c:pt idx="361">
                  <c:v>40367.0</c:v>
                </c:pt>
                <c:pt idx="362">
                  <c:v>40374.0</c:v>
                </c:pt>
                <c:pt idx="363">
                  <c:v>40381.0</c:v>
                </c:pt>
                <c:pt idx="364">
                  <c:v>40388.0</c:v>
                </c:pt>
                <c:pt idx="365">
                  <c:v>40395.0</c:v>
                </c:pt>
                <c:pt idx="366">
                  <c:v>40402.0</c:v>
                </c:pt>
                <c:pt idx="367">
                  <c:v>40409.0</c:v>
                </c:pt>
                <c:pt idx="368">
                  <c:v>40416.0</c:v>
                </c:pt>
                <c:pt idx="369">
                  <c:v>40423.0</c:v>
                </c:pt>
                <c:pt idx="370">
                  <c:v>40430.0</c:v>
                </c:pt>
                <c:pt idx="371">
                  <c:v>40437.0</c:v>
                </c:pt>
                <c:pt idx="372">
                  <c:v>40444.0</c:v>
                </c:pt>
                <c:pt idx="373">
                  <c:v>40451.0</c:v>
                </c:pt>
                <c:pt idx="374">
                  <c:v>40458.0</c:v>
                </c:pt>
                <c:pt idx="375">
                  <c:v>40465.0</c:v>
                </c:pt>
                <c:pt idx="376">
                  <c:v>40472.0</c:v>
                </c:pt>
                <c:pt idx="377">
                  <c:v>40479.0</c:v>
                </c:pt>
                <c:pt idx="378">
                  <c:v>40486.0</c:v>
                </c:pt>
                <c:pt idx="379">
                  <c:v>40493.0</c:v>
                </c:pt>
                <c:pt idx="380">
                  <c:v>40500.0</c:v>
                </c:pt>
                <c:pt idx="381">
                  <c:v>40507.0</c:v>
                </c:pt>
                <c:pt idx="382">
                  <c:v>40514.0</c:v>
                </c:pt>
                <c:pt idx="383">
                  <c:v>40521.0</c:v>
                </c:pt>
                <c:pt idx="384">
                  <c:v>40528.0</c:v>
                </c:pt>
                <c:pt idx="385">
                  <c:v>40535.0</c:v>
                </c:pt>
                <c:pt idx="386">
                  <c:v>40542.0</c:v>
                </c:pt>
                <c:pt idx="387">
                  <c:v>40549.0</c:v>
                </c:pt>
                <c:pt idx="388">
                  <c:v>40556.0</c:v>
                </c:pt>
                <c:pt idx="389">
                  <c:v>40563.0</c:v>
                </c:pt>
                <c:pt idx="390">
                  <c:v>40570.0</c:v>
                </c:pt>
                <c:pt idx="391">
                  <c:v>40577.0</c:v>
                </c:pt>
                <c:pt idx="392">
                  <c:v>40584.0</c:v>
                </c:pt>
                <c:pt idx="393">
                  <c:v>40591.0</c:v>
                </c:pt>
                <c:pt idx="394">
                  <c:v>40598.0</c:v>
                </c:pt>
                <c:pt idx="395">
                  <c:v>40605.0</c:v>
                </c:pt>
                <c:pt idx="396">
                  <c:v>40612.0</c:v>
                </c:pt>
                <c:pt idx="397">
                  <c:v>40619.0</c:v>
                </c:pt>
                <c:pt idx="398">
                  <c:v>40626.0</c:v>
                </c:pt>
                <c:pt idx="399">
                  <c:v>40633.0</c:v>
                </c:pt>
                <c:pt idx="400">
                  <c:v>40640.0</c:v>
                </c:pt>
                <c:pt idx="401">
                  <c:v>40647.0</c:v>
                </c:pt>
                <c:pt idx="402">
                  <c:v>40654.0</c:v>
                </c:pt>
                <c:pt idx="403">
                  <c:v>40661.0</c:v>
                </c:pt>
                <c:pt idx="404">
                  <c:v>40668.0</c:v>
                </c:pt>
                <c:pt idx="405">
                  <c:v>40675.0</c:v>
                </c:pt>
                <c:pt idx="406">
                  <c:v>40682.0</c:v>
                </c:pt>
                <c:pt idx="407">
                  <c:v>40689.0</c:v>
                </c:pt>
                <c:pt idx="408">
                  <c:v>40696.0</c:v>
                </c:pt>
                <c:pt idx="409">
                  <c:v>40703.0</c:v>
                </c:pt>
                <c:pt idx="410">
                  <c:v>40710.0</c:v>
                </c:pt>
                <c:pt idx="411">
                  <c:v>40717.0</c:v>
                </c:pt>
                <c:pt idx="412">
                  <c:v>40724.0</c:v>
                </c:pt>
                <c:pt idx="413">
                  <c:v>40731.0</c:v>
                </c:pt>
                <c:pt idx="414">
                  <c:v>40738.0</c:v>
                </c:pt>
                <c:pt idx="415">
                  <c:v>40745.0</c:v>
                </c:pt>
                <c:pt idx="416">
                  <c:v>40752.0</c:v>
                </c:pt>
                <c:pt idx="417">
                  <c:v>40759.0</c:v>
                </c:pt>
                <c:pt idx="418">
                  <c:v>40766.0</c:v>
                </c:pt>
                <c:pt idx="419">
                  <c:v>40773.0</c:v>
                </c:pt>
                <c:pt idx="420">
                  <c:v>40780.0</c:v>
                </c:pt>
                <c:pt idx="421">
                  <c:v>40787.0</c:v>
                </c:pt>
                <c:pt idx="422">
                  <c:v>40794.0</c:v>
                </c:pt>
                <c:pt idx="423">
                  <c:v>40801.0</c:v>
                </c:pt>
                <c:pt idx="424">
                  <c:v>40808.0</c:v>
                </c:pt>
                <c:pt idx="425">
                  <c:v>40815.0</c:v>
                </c:pt>
                <c:pt idx="426">
                  <c:v>40822.0</c:v>
                </c:pt>
                <c:pt idx="427">
                  <c:v>40829.0</c:v>
                </c:pt>
                <c:pt idx="428">
                  <c:v>40836.0</c:v>
                </c:pt>
                <c:pt idx="429">
                  <c:v>40843.0</c:v>
                </c:pt>
                <c:pt idx="430">
                  <c:v>40850.0</c:v>
                </c:pt>
                <c:pt idx="431">
                  <c:v>40857.0</c:v>
                </c:pt>
                <c:pt idx="432">
                  <c:v>40864.0</c:v>
                </c:pt>
                <c:pt idx="433">
                  <c:v>40871.0</c:v>
                </c:pt>
                <c:pt idx="434">
                  <c:v>40878.0</c:v>
                </c:pt>
                <c:pt idx="435">
                  <c:v>40885.0</c:v>
                </c:pt>
                <c:pt idx="436">
                  <c:v>40892.0</c:v>
                </c:pt>
                <c:pt idx="437">
                  <c:v>40899.0</c:v>
                </c:pt>
                <c:pt idx="438">
                  <c:v>40906.0</c:v>
                </c:pt>
                <c:pt idx="439">
                  <c:v>40913.0</c:v>
                </c:pt>
                <c:pt idx="440">
                  <c:v>40920.0</c:v>
                </c:pt>
                <c:pt idx="441">
                  <c:v>40927.0</c:v>
                </c:pt>
                <c:pt idx="442">
                  <c:v>40934.0</c:v>
                </c:pt>
                <c:pt idx="443">
                  <c:v>40941.0</c:v>
                </c:pt>
                <c:pt idx="444">
                  <c:v>40948.0</c:v>
                </c:pt>
                <c:pt idx="445">
                  <c:v>40955.0</c:v>
                </c:pt>
                <c:pt idx="446">
                  <c:v>40962.0</c:v>
                </c:pt>
                <c:pt idx="447">
                  <c:v>40969.0</c:v>
                </c:pt>
                <c:pt idx="448">
                  <c:v>40976.0</c:v>
                </c:pt>
                <c:pt idx="449">
                  <c:v>40983.0</c:v>
                </c:pt>
                <c:pt idx="450">
                  <c:v>40990.0</c:v>
                </c:pt>
                <c:pt idx="451">
                  <c:v>40997.0</c:v>
                </c:pt>
                <c:pt idx="452">
                  <c:v>41004.0</c:v>
                </c:pt>
                <c:pt idx="453">
                  <c:v>41011.0</c:v>
                </c:pt>
                <c:pt idx="454">
                  <c:v>41018.0</c:v>
                </c:pt>
                <c:pt idx="455">
                  <c:v>41025.0</c:v>
                </c:pt>
                <c:pt idx="456">
                  <c:v>41032.0</c:v>
                </c:pt>
                <c:pt idx="457">
                  <c:v>41039.0</c:v>
                </c:pt>
                <c:pt idx="458">
                  <c:v>41046.0</c:v>
                </c:pt>
                <c:pt idx="459">
                  <c:v>41053.0</c:v>
                </c:pt>
                <c:pt idx="460">
                  <c:v>41060.0</c:v>
                </c:pt>
                <c:pt idx="461">
                  <c:v>41067.0</c:v>
                </c:pt>
                <c:pt idx="462">
                  <c:v>41074.0</c:v>
                </c:pt>
                <c:pt idx="463">
                  <c:v>41081.0</c:v>
                </c:pt>
                <c:pt idx="464">
                  <c:v>41088.0</c:v>
                </c:pt>
                <c:pt idx="465">
                  <c:v>41095.0</c:v>
                </c:pt>
                <c:pt idx="466">
                  <c:v>41102.0</c:v>
                </c:pt>
                <c:pt idx="467">
                  <c:v>41109.0</c:v>
                </c:pt>
                <c:pt idx="468">
                  <c:v>41116.0</c:v>
                </c:pt>
                <c:pt idx="469">
                  <c:v>41123.0</c:v>
                </c:pt>
                <c:pt idx="470">
                  <c:v>41130.0</c:v>
                </c:pt>
                <c:pt idx="471">
                  <c:v>41137.0</c:v>
                </c:pt>
                <c:pt idx="472">
                  <c:v>41144.0</c:v>
                </c:pt>
                <c:pt idx="473">
                  <c:v>41151.0</c:v>
                </c:pt>
                <c:pt idx="474">
                  <c:v>41158.0</c:v>
                </c:pt>
                <c:pt idx="475">
                  <c:v>41165.0</c:v>
                </c:pt>
                <c:pt idx="476">
                  <c:v>41172.0</c:v>
                </c:pt>
                <c:pt idx="477">
                  <c:v>41179.0</c:v>
                </c:pt>
                <c:pt idx="478">
                  <c:v>41186.0</c:v>
                </c:pt>
                <c:pt idx="479">
                  <c:v>41193.0</c:v>
                </c:pt>
                <c:pt idx="480">
                  <c:v>41200.0</c:v>
                </c:pt>
                <c:pt idx="481">
                  <c:v>41207.0</c:v>
                </c:pt>
                <c:pt idx="482">
                  <c:v>41214.0</c:v>
                </c:pt>
                <c:pt idx="483">
                  <c:v>41221.0</c:v>
                </c:pt>
                <c:pt idx="484">
                  <c:v>41228.0</c:v>
                </c:pt>
                <c:pt idx="485">
                  <c:v>41235.0</c:v>
                </c:pt>
                <c:pt idx="486">
                  <c:v>41242.0</c:v>
                </c:pt>
                <c:pt idx="487">
                  <c:v>41249.0</c:v>
                </c:pt>
                <c:pt idx="488">
                  <c:v>41256.0</c:v>
                </c:pt>
                <c:pt idx="489">
                  <c:v>41263.0</c:v>
                </c:pt>
                <c:pt idx="490">
                  <c:v>41270.0</c:v>
                </c:pt>
                <c:pt idx="491">
                  <c:v>41277.0</c:v>
                </c:pt>
                <c:pt idx="492">
                  <c:v>41284.0</c:v>
                </c:pt>
                <c:pt idx="493">
                  <c:v>41291.0</c:v>
                </c:pt>
                <c:pt idx="494">
                  <c:v>41298.0</c:v>
                </c:pt>
                <c:pt idx="495">
                  <c:v>41305.0</c:v>
                </c:pt>
                <c:pt idx="496">
                  <c:v>41312.0</c:v>
                </c:pt>
                <c:pt idx="497">
                  <c:v>41319.0</c:v>
                </c:pt>
                <c:pt idx="498">
                  <c:v>41326.0</c:v>
                </c:pt>
                <c:pt idx="499">
                  <c:v>41333.0</c:v>
                </c:pt>
                <c:pt idx="500">
                  <c:v>41340.0</c:v>
                </c:pt>
                <c:pt idx="501">
                  <c:v>41347.0</c:v>
                </c:pt>
                <c:pt idx="502">
                  <c:v>41354.0</c:v>
                </c:pt>
                <c:pt idx="503">
                  <c:v>41361.0</c:v>
                </c:pt>
                <c:pt idx="504">
                  <c:v>41368.0</c:v>
                </c:pt>
                <c:pt idx="505">
                  <c:v>41375.0</c:v>
                </c:pt>
                <c:pt idx="506">
                  <c:v>41382.0</c:v>
                </c:pt>
                <c:pt idx="507">
                  <c:v>41389.0</c:v>
                </c:pt>
                <c:pt idx="508">
                  <c:v>41396.0</c:v>
                </c:pt>
                <c:pt idx="509">
                  <c:v>41403.0</c:v>
                </c:pt>
                <c:pt idx="510">
                  <c:v>41410.0</c:v>
                </c:pt>
                <c:pt idx="511">
                  <c:v>41417.0</c:v>
                </c:pt>
                <c:pt idx="512">
                  <c:v>41424.0</c:v>
                </c:pt>
                <c:pt idx="513">
                  <c:v>41431.0</c:v>
                </c:pt>
                <c:pt idx="514">
                  <c:v>41438.0</c:v>
                </c:pt>
                <c:pt idx="515">
                  <c:v>41445.0</c:v>
                </c:pt>
                <c:pt idx="516">
                  <c:v>41452.0</c:v>
                </c:pt>
                <c:pt idx="517">
                  <c:v>41459.0</c:v>
                </c:pt>
                <c:pt idx="518">
                  <c:v>41466.0</c:v>
                </c:pt>
                <c:pt idx="519">
                  <c:v>41473.0</c:v>
                </c:pt>
                <c:pt idx="520">
                  <c:v>41480.0</c:v>
                </c:pt>
                <c:pt idx="521">
                  <c:v>41487.0</c:v>
                </c:pt>
                <c:pt idx="522">
                  <c:v>41494.0</c:v>
                </c:pt>
                <c:pt idx="523">
                  <c:v>41501.0</c:v>
                </c:pt>
                <c:pt idx="524">
                  <c:v>41508.0</c:v>
                </c:pt>
                <c:pt idx="525">
                  <c:v>41515.0</c:v>
                </c:pt>
                <c:pt idx="526">
                  <c:v>41522.0</c:v>
                </c:pt>
                <c:pt idx="527">
                  <c:v>41529.0</c:v>
                </c:pt>
                <c:pt idx="528">
                  <c:v>41536.0</c:v>
                </c:pt>
                <c:pt idx="529">
                  <c:v>41543.0</c:v>
                </c:pt>
                <c:pt idx="530">
                  <c:v>41550.0</c:v>
                </c:pt>
                <c:pt idx="531">
                  <c:v>41557.0</c:v>
                </c:pt>
                <c:pt idx="532">
                  <c:v>41564.0</c:v>
                </c:pt>
                <c:pt idx="533">
                  <c:v>41571.0</c:v>
                </c:pt>
                <c:pt idx="534">
                  <c:v>41578.0</c:v>
                </c:pt>
                <c:pt idx="535">
                  <c:v>41585.0</c:v>
                </c:pt>
                <c:pt idx="536">
                  <c:v>41592.0</c:v>
                </c:pt>
                <c:pt idx="537">
                  <c:v>41599.0</c:v>
                </c:pt>
                <c:pt idx="538">
                  <c:v>41606.0</c:v>
                </c:pt>
                <c:pt idx="539">
                  <c:v>41613.0</c:v>
                </c:pt>
                <c:pt idx="540">
                  <c:v>41620.0</c:v>
                </c:pt>
                <c:pt idx="541">
                  <c:v>41627.0</c:v>
                </c:pt>
                <c:pt idx="542">
                  <c:v>41634.0</c:v>
                </c:pt>
                <c:pt idx="543">
                  <c:v>41641.0</c:v>
                </c:pt>
                <c:pt idx="544">
                  <c:v>41648.0</c:v>
                </c:pt>
                <c:pt idx="545">
                  <c:v>41655.0</c:v>
                </c:pt>
                <c:pt idx="546">
                  <c:v>41662.0</c:v>
                </c:pt>
                <c:pt idx="547">
                  <c:v>41669.0</c:v>
                </c:pt>
                <c:pt idx="548">
                  <c:v>41676.0</c:v>
                </c:pt>
                <c:pt idx="549">
                  <c:v>41683.0</c:v>
                </c:pt>
                <c:pt idx="550">
                  <c:v>41690.0</c:v>
                </c:pt>
                <c:pt idx="551">
                  <c:v>41697.0</c:v>
                </c:pt>
                <c:pt idx="552">
                  <c:v>41704.0</c:v>
                </c:pt>
                <c:pt idx="553">
                  <c:v>41711.0</c:v>
                </c:pt>
                <c:pt idx="554">
                  <c:v>41718.0</c:v>
                </c:pt>
                <c:pt idx="555">
                  <c:v>41725.0</c:v>
                </c:pt>
                <c:pt idx="556">
                  <c:v>41732.0</c:v>
                </c:pt>
                <c:pt idx="557">
                  <c:v>41739.0</c:v>
                </c:pt>
                <c:pt idx="558">
                  <c:v>41746.0</c:v>
                </c:pt>
                <c:pt idx="559">
                  <c:v>41753.0</c:v>
                </c:pt>
                <c:pt idx="560">
                  <c:v>41760.0</c:v>
                </c:pt>
                <c:pt idx="561">
                  <c:v>41767.0</c:v>
                </c:pt>
                <c:pt idx="562">
                  <c:v>41774.0</c:v>
                </c:pt>
                <c:pt idx="563">
                  <c:v>41781.0</c:v>
                </c:pt>
                <c:pt idx="564">
                  <c:v>41788.0</c:v>
                </c:pt>
                <c:pt idx="565">
                  <c:v>41795.0</c:v>
                </c:pt>
                <c:pt idx="566">
                  <c:v>41802.0</c:v>
                </c:pt>
                <c:pt idx="567">
                  <c:v>41809.0</c:v>
                </c:pt>
                <c:pt idx="568">
                  <c:v>41816.0</c:v>
                </c:pt>
                <c:pt idx="569">
                  <c:v>41823.0</c:v>
                </c:pt>
                <c:pt idx="570">
                  <c:v>41830.0</c:v>
                </c:pt>
                <c:pt idx="571">
                  <c:v>41837.0</c:v>
                </c:pt>
                <c:pt idx="572">
                  <c:v>41844.0</c:v>
                </c:pt>
                <c:pt idx="573">
                  <c:v>41851.0</c:v>
                </c:pt>
                <c:pt idx="574">
                  <c:v>41858.0</c:v>
                </c:pt>
                <c:pt idx="575">
                  <c:v>41865.0</c:v>
                </c:pt>
                <c:pt idx="576">
                  <c:v>41872.0</c:v>
                </c:pt>
                <c:pt idx="577">
                  <c:v>41879.0</c:v>
                </c:pt>
                <c:pt idx="578">
                  <c:v>41886.0</c:v>
                </c:pt>
                <c:pt idx="579">
                  <c:v>41893.0</c:v>
                </c:pt>
                <c:pt idx="580">
                  <c:v>41900.0</c:v>
                </c:pt>
                <c:pt idx="581">
                  <c:v>41907.0</c:v>
                </c:pt>
                <c:pt idx="582">
                  <c:v>41914.0</c:v>
                </c:pt>
                <c:pt idx="583">
                  <c:v>41921.0</c:v>
                </c:pt>
                <c:pt idx="584">
                  <c:v>41928.0</c:v>
                </c:pt>
                <c:pt idx="585">
                  <c:v>41935.0</c:v>
                </c:pt>
                <c:pt idx="586">
                  <c:v>41942.0</c:v>
                </c:pt>
                <c:pt idx="587">
                  <c:v>41949.0</c:v>
                </c:pt>
                <c:pt idx="588">
                  <c:v>41956.0</c:v>
                </c:pt>
                <c:pt idx="589">
                  <c:v>41963.0</c:v>
                </c:pt>
                <c:pt idx="590">
                  <c:v>41970.0</c:v>
                </c:pt>
                <c:pt idx="591">
                  <c:v>41977.0</c:v>
                </c:pt>
                <c:pt idx="592">
                  <c:v>41984.0</c:v>
                </c:pt>
                <c:pt idx="593">
                  <c:v>41991.0</c:v>
                </c:pt>
                <c:pt idx="594">
                  <c:v>41998.0</c:v>
                </c:pt>
                <c:pt idx="595">
                  <c:v>42005.0</c:v>
                </c:pt>
                <c:pt idx="596">
                  <c:v>42012.0</c:v>
                </c:pt>
                <c:pt idx="597">
                  <c:v>42019.0</c:v>
                </c:pt>
                <c:pt idx="598">
                  <c:v>42026.0</c:v>
                </c:pt>
                <c:pt idx="599">
                  <c:v>42033.0</c:v>
                </c:pt>
                <c:pt idx="600">
                  <c:v>42040.0</c:v>
                </c:pt>
                <c:pt idx="601">
                  <c:v>42047.0</c:v>
                </c:pt>
                <c:pt idx="602">
                  <c:v>42054.0</c:v>
                </c:pt>
                <c:pt idx="603">
                  <c:v>42061.0</c:v>
                </c:pt>
                <c:pt idx="604">
                  <c:v>42068.0</c:v>
                </c:pt>
                <c:pt idx="605">
                  <c:v>42075.0</c:v>
                </c:pt>
                <c:pt idx="606">
                  <c:v>42082.0</c:v>
                </c:pt>
                <c:pt idx="607">
                  <c:v>42089.0</c:v>
                </c:pt>
                <c:pt idx="608">
                  <c:v>42096.0</c:v>
                </c:pt>
                <c:pt idx="609">
                  <c:v>42103.0</c:v>
                </c:pt>
                <c:pt idx="610">
                  <c:v>42110.0</c:v>
                </c:pt>
                <c:pt idx="611">
                  <c:v>42117.0</c:v>
                </c:pt>
                <c:pt idx="612">
                  <c:v>42124.0</c:v>
                </c:pt>
                <c:pt idx="613">
                  <c:v>42131.0</c:v>
                </c:pt>
                <c:pt idx="614">
                  <c:v>42138.0</c:v>
                </c:pt>
                <c:pt idx="615">
                  <c:v>42145.0</c:v>
                </c:pt>
                <c:pt idx="616">
                  <c:v>42152.0</c:v>
                </c:pt>
                <c:pt idx="617">
                  <c:v>42159.0</c:v>
                </c:pt>
                <c:pt idx="618">
                  <c:v>42166.0</c:v>
                </c:pt>
                <c:pt idx="619">
                  <c:v>42173.0</c:v>
                </c:pt>
                <c:pt idx="620">
                  <c:v>42180.0</c:v>
                </c:pt>
                <c:pt idx="621">
                  <c:v>42187.0</c:v>
                </c:pt>
                <c:pt idx="622">
                  <c:v>42194.0</c:v>
                </c:pt>
                <c:pt idx="623">
                  <c:v>42201.0</c:v>
                </c:pt>
                <c:pt idx="624">
                  <c:v>42208.0</c:v>
                </c:pt>
                <c:pt idx="625">
                  <c:v>42215.0</c:v>
                </c:pt>
                <c:pt idx="626">
                  <c:v>42222.0</c:v>
                </c:pt>
                <c:pt idx="627">
                  <c:v>42229.0</c:v>
                </c:pt>
                <c:pt idx="628">
                  <c:v>42236.0</c:v>
                </c:pt>
                <c:pt idx="629">
                  <c:v>42243.0</c:v>
                </c:pt>
                <c:pt idx="630">
                  <c:v>42250.0</c:v>
                </c:pt>
                <c:pt idx="631">
                  <c:v>42257.0</c:v>
                </c:pt>
                <c:pt idx="632">
                  <c:v>42264.0</c:v>
                </c:pt>
                <c:pt idx="633">
                  <c:v>42271.0</c:v>
                </c:pt>
                <c:pt idx="634">
                  <c:v>42278.0</c:v>
                </c:pt>
                <c:pt idx="635">
                  <c:v>42285.0</c:v>
                </c:pt>
                <c:pt idx="636">
                  <c:v>42292.0</c:v>
                </c:pt>
                <c:pt idx="637">
                  <c:v>42299.0</c:v>
                </c:pt>
                <c:pt idx="638">
                  <c:v>42306.0</c:v>
                </c:pt>
                <c:pt idx="639">
                  <c:v>42313.0</c:v>
                </c:pt>
                <c:pt idx="640">
                  <c:v>42320.0</c:v>
                </c:pt>
                <c:pt idx="641">
                  <c:v>42327.0</c:v>
                </c:pt>
                <c:pt idx="642">
                  <c:v>42334.0</c:v>
                </c:pt>
                <c:pt idx="643">
                  <c:v>42341.0</c:v>
                </c:pt>
                <c:pt idx="644">
                  <c:v>42348.0</c:v>
                </c:pt>
                <c:pt idx="645">
                  <c:v>42355.0</c:v>
                </c:pt>
                <c:pt idx="646">
                  <c:v>42362.0</c:v>
                </c:pt>
                <c:pt idx="647">
                  <c:v>42369.0</c:v>
                </c:pt>
                <c:pt idx="648">
                  <c:v>42376.0</c:v>
                </c:pt>
                <c:pt idx="649">
                  <c:v>42383.0</c:v>
                </c:pt>
                <c:pt idx="650">
                  <c:v>42390.0</c:v>
                </c:pt>
                <c:pt idx="651">
                  <c:v>42397.0</c:v>
                </c:pt>
                <c:pt idx="652">
                  <c:v>42404.0</c:v>
                </c:pt>
                <c:pt idx="653">
                  <c:v>42411.0</c:v>
                </c:pt>
                <c:pt idx="654">
                  <c:v>42418.0</c:v>
                </c:pt>
                <c:pt idx="655">
                  <c:v>42425.0</c:v>
                </c:pt>
                <c:pt idx="656">
                  <c:v>42432.0</c:v>
                </c:pt>
                <c:pt idx="657">
                  <c:v>42439.0</c:v>
                </c:pt>
                <c:pt idx="658">
                  <c:v>42446.0</c:v>
                </c:pt>
                <c:pt idx="659">
                  <c:v>42453.0</c:v>
                </c:pt>
                <c:pt idx="660">
                  <c:v>42460.0</c:v>
                </c:pt>
                <c:pt idx="661">
                  <c:v>42467.0</c:v>
                </c:pt>
                <c:pt idx="662">
                  <c:v>42474.0</c:v>
                </c:pt>
                <c:pt idx="663">
                  <c:v>42481.0</c:v>
                </c:pt>
                <c:pt idx="664">
                  <c:v>42488.0</c:v>
                </c:pt>
                <c:pt idx="665">
                  <c:v>42495.0</c:v>
                </c:pt>
                <c:pt idx="666">
                  <c:v>42502.0</c:v>
                </c:pt>
                <c:pt idx="667">
                  <c:v>42509.0</c:v>
                </c:pt>
                <c:pt idx="668">
                  <c:v>42516.0</c:v>
                </c:pt>
                <c:pt idx="669">
                  <c:v>42523.0</c:v>
                </c:pt>
                <c:pt idx="670">
                  <c:v>42530.0</c:v>
                </c:pt>
                <c:pt idx="671">
                  <c:v>42537.0</c:v>
                </c:pt>
                <c:pt idx="672">
                  <c:v>42544.0</c:v>
                </c:pt>
                <c:pt idx="673">
                  <c:v>42551.0</c:v>
                </c:pt>
                <c:pt idx="674">
                  <c:v>42558.0</c:v>
                </c:pt>
                <c:pt idx="675">
                  <c:v>42565.0</c:v>
                </c:pt>
                <c:pt idx="676">
                  <c:v>42572.0</c:v>
                </c:pt>
                <c:pt idx="677">
                  <c:v>42579.0</c:v>
                </c:pt>
                <c:pt idx="678">
                  <c:v>42586.0</c:v>
                </c:pt>
                <c:pt idx="679">
                  <c:v>42593.0</c:v>
                </c:pt>
                <c:pt idx="680">
                  <c:v>42600.0</c:v>
                </c:pt>
                <c:pt idx="681">
                  <c:v>42607.0</c:v>
                </c:pt>
                <c:pt idx="682">
                  <c:v>42614.0</c:v>
                </c:pt>
                <c:pt idx="683">
                  <c:v>42621.0</c:v>
                </c:pt>
                <c:pt idx="684">
                  <c:v>42628.0</c:v>
                </c:pt>
                <c:pt idx="685">
                  <c:v>42635.0</c:v>
                </c:pt>
                <c:pt idx="686">
                  <c:v>42642.0</c:v>
                </c:pt>
                <c:pt idx="687">
                  <c:v>42649.0</c:v>
                </c:pt>
                <c:pt idx="688">
                  <c:v>42656.0</c:v>
                </c:pt>
                <c:pt idx="689">
                  <c:v>42663.0</c:v>
                </c:pt>
                <c:pt idx="690">
                  <c:v>42670.0</c:v>
                </c:pt>
                <c:pt idx="691">
                  <c:v>42677.0</c:v>
                </c:pt>
                <c:pt idx="692">
                  <c:v>42684.0</c:v>
                </c:pt>
                <c:pt idx="693">
                  <c:v>42691.0</c:v>
                </c:pt>
                <c:pt idx="694">
                  <c:v>42698.0</c:v>
                </c:pt>
                <c:pt idx="695">
                  <c:v>42705.0</c:v>
                </c:pt>
                <c:pt idx="696">
                  <c:v>42712.0</c:v>
                </c:pt>
                <c:pt idx="697">
                  <c:v>42719.0</c:v>
                </c:pt>
                <c:pt idx="698">
                  <c:v>42726.0</c:v>
                </c:pt>
                <c:pt idx="699">
                  <c:v>42733.0</c:v>
                </c:pt>
                <c:pt idx="700">
                  <c:v>42740.0</c:v>
                </c:pt>
                <c:pt idx="701">
                  <c:v>42747.0</c:v>
                </c:pt>
                <c:pt idx="702">
                  <c:v>42754.0</c:v>
                </c:pt>
                <c:pt idx="703">
                  <c:v>42761.0</c:v>
                </c:pt>
                <c:pt idx="704">
                  <c:v>42768.0</c:v>
                </c:pt>
                <c:pt idx="705">
                  <c:v>42775.0</c:v>
                </c:pt>
                <c:pt idx="706">
                  <c:v>42782.0</c:v>
                </c:pt>
                <c:pt idx="707">
                  <c:v>42789.0</c:v>
                </c:pt>
                <c:pt idx="708">
                  <c:v>42796.0</c:v>
                </c:pt>
                <c:pt idx="709">
                  <c:v>42803.0</c:v>
                </c:pt>
                <c:pt idx="710">
                  <c:v>42810.0</c:v>
                </c:pt>
                <c:pt idx="711">
                  <c:v>42817.0</c:v>
                </c:pt>
                <c:pt idx="712">
                  <c:v>42824.0</c:v>
                </c:pt>
                <c:pt idx="713">
                  <c:v>42831.0</c:v>
                </c:pt>
                <c:pt idx="714">
                  <c:v>42838.0</c:v>
                </c:pt>
                <c:pt idx="715">
                  <c:v>42845.0</c:v>
                </c:pt>
                <c:pt idx="716">
                  <c:v>42852.0</c:v>
                </c:pt>
                <c:pt idx="717">
                  <c:v>42859.0</c:v>
                </c:pt>
              </c:numCache>
            </c:numRef>
          </c:cat>
          <c:val>
            <c:numRef>
              <c:f>Data!$N$4:$N$721</c:f>
              <c:numCache>
                <c:formatCode>0.00%</c:formatCode>
                <c:ptCount val="718"/>
                <c:pt idx="0">
                  <c:v>0.00358033717529671</c:v>
                </c:pt>
                <c:pt idx="1">
                  <c:v>0.0152890073972129</c:v>
                </c:pt>
                <c:pt idx="2">
                  <c:v>-0.0094507999311888</c:v>
                </c:pt>
                <c:pt idx="3">
                  <c:v>0.0360291587820403</c:v>
                </c:pt>
                <c:pt idx="4">
                  <c:v>0.0620161706519868</c:v>
                </c:pt>
                <c:pt idx="5">
                  <c:v>0.0629300705315672</c:v>
                </c:pt>
                <c:pt idx="6">
                  <c:v>0.0705423189403063</c:v>
                </c:pt>
                <c:pt idx="7">
                  <c:v>0.0496086358162739</c:v>
                </c:pt>
                <c:pt idx="8">
                  <c:v>0.0662093583347667</c:v>
                </c:pt>
                <c:pt idx="9">
                  <c:v>0.0731765009461551</c:v>
                </c:pt>
                <c:pt idx="10">
                  <c:v>0.0679941510407707</c:v>
                </c:pt>
                <c:pt idx="11">
                  <c:v>0.0737570961637708</c:v>
                </c:pt>
                <c:pt idx="12">
                  <c:v>0.0538340787889213</c:v>
                </c:pt>
                <c:pt idx="13">
                  <c:v>0.0510816273868915</c:v>
                </c:pt>
                <c:pt idx="14">
                  <c:v>0.0651449337691381</c:v>
                </c:pt>
                <c:pt idx="15">
                  <c:v>0.067714605195252</c:v>
                </c:pt>
                <c:pt idx="16">
                  <c:v>0.0837884913125752</c:v>
                </c:pt>
                <c:pt idx="17">
                  <c:v>0.0981743505934973</c:v>
                </c:pt>
                <c:pt idx="18">
                  <c:v>0.0952068639256838</c:v>
                </c:pt>
                <c:pt idx="19">
                  <c:v>0.114205229657664</c:v>
                </c:pt>
                <c:pt idx="20">
                  <c:v>0.0717895234818511</c:v>
                </c:pt>
                <c:pt idx="21">
                  <c:v>0.107270342336143</c:v>
                </c:pt>
                <c:pt idx="22">
                  <c:v>0.116097539996559</c:v>
                </c:pt>
                <c:pt idx="23">
                  <c:v>0.117452262170996</c:v>
                </c:pt>
                <c:pt idx="24">
                  <c:v>0.10625967658696</c:v>
                </c:pt>
                <c:pt idx="25">
                  <c:v>0.129698520557371</c:v>
                </c:pt>
                <c:pt idx="26">
                  <c:v>0.132386461379666</c:v>
                </c:pt>
                <c:pt idx="27">
                  <c:v>0.129311457078961</c:v>
                </c:pt>
                <c:pt idx="28">
                  <c:v>0.113108549802168</c:v>
                </c:pt>
                <c:pt idx="29">
                  <c:v>0.137751591260967</c:v>
                </c:pt>
                <c:pt idx="30">
                  <c:v>0.141299673146396</c:v>
                </c:pt>
                <c:pt idx="31">
                  <c:v>0.154889901943919</c:v>
                </c:pt>
                <c:pt idx="32">
                  <c:v>0.170501462239807</c:v>
                </c:pt>
                <c:pt idx="33">
                  <c:v>0.178274987097884</c:v>
                </c:pt>
                <c:pt idx="34">
                  <c:v>0.191811457078961</c:v>
                </c:pt>
                <c:pt idx="35">
                  <c:v>0.206197316359883</c:v>
                </c:pt>
                <c:pt idx="36">
                  <c:v>0.225518234990538</c:v>
                </c:pt>
                <c:pt idx="37">
                  <c:v>0.227367538276277</c:v>
                </c:pt>
                <c:pt idx="38">
                  <c:v>0.216164200928952</c:v>
                </c:pt>
                <c:pt idx="39">
                  <c:v>0.228668501634268</c:v>
                </c:pt>
                <c:pt idx="40">
                  <c:v>0.231947789437468</c:v>
                </c:pt>
                <c:pt idx="41">
                  <c:v>0.230119989678307</c:v>
                </c:pt>
                <c:pt idx="42">
                  <c:v>0.231012386031309</c:v>
                </c:pt>
                <c:pt idx="43">
                  <c:v>0.243828487872011</c:v>
                </c:pt>
                <c:pt idx="44">
                  <c:v>0.204810338895579</c:v>
                </c:pt>
                <c:pt idx="45">
                  <c:v>0.193166179253397</c:v>
                </c:pt>
                <c:pt idx="46">
                  <c:v>0.191359883020815</c:v>
                </c:pt>
                <c:pt idx="47">
                  <c:v>0.227679339411663</c:v>
                </c:pt>
                <c:pt idx="48">
                  <c:v>0.22496989506279</c:v>
                </c:pt>
                <c:pt idx="49">
                  <c:v>0.219905814553587</c:v>
                </c:pt>
                <c:pt idx="50">
                  <c:v>0.226346120763805</c:v>
                </c:pt>
                <c:pt idx="51">
                  <c:v>0.190542749010838</c:v>
                </c:pt>
                <c:pt idx="52">
                  <c:v>0.181296232582143</c:v>
                </c:pt>
                <c:pt idx="53">
                  <c:v>0.17807070359539</c:v>
                </c:pt>
                <c:pt idx="54">
                  <c:v>0.175769826251505</c:v>
                </c:pt>
                <c:pt idx="55">
                  <c:v>0.20492860829176</c:v>
                </c:pt>
                <c:pt idx="56">
                  <c:v>0.206885429210391</c:v>
                </c:pt>
                <c:pt idx="57">
                  <c:v>0.221905642525374</c:v>
                </c:pt>
                <c:pt idx="58">
                  <c:v>0.220346636848443</c:v>
                </c:pt>
                <c:pt idx="59">
                  <c:v>0.219712282814382</c:v>
                </c:pt>
                <c:pt idx="60">
                  <c:v>0.209981937037674</c:v>
                </c:pt>
                <c:pt idx="61">
                  <c:v>0.196466970583176</c:v>
                </c:pt>
                <c:pt idx="62">
                  <c:v>0.184188456906933</c:v>
                </c:pt>
                <c:pt idx="63">
                  <c:v>0.167856528470669</c:v>
                </c:pt>
                <c:pt idx="64">
                  <c:v>0.184543265095476</c:v>
                </c:pt>
                <c:pt idx="65">
                  <c:v>0.143955358678823</c:v>
                </c:pt>
                <c:pt idx="66">
                  <c:v>0.144847755031825</c:v>
                </c:pt>
                <c:pt idx="67">
                  <c:v>0.180919920867022</c:v>
                </c:pt>
                <c:pt idx="68">
                  <c:v>0.191048081885429</c:v>
                </c:pt>
                <c:pt idx="69">
                  <c:v>0.197348615172888</c:v>
                </c:pt>
                <c:pt idx="70">
                  <c:v>0.208412179597454</c:v>
                </c:pt>
                <c:pt idx="71">
                  <c:v>0.213390246000344</c:v>
                </c:pt>
                <c:pt idx="72">
                  <c:v>0.193563994495097</c:v>
                </c:pt>
                <c:pt idx="73">
                  <c:v>0.216562016170652</c:v>
                </c:pt>
                <c:pt idx="74">
                  <c:v>0.20649836573198</c:v>
                </c:pt>
                <c:pt idx="75">
                  <c:v>0.191510407706864</c:v>
                </c:pt>
                <c:pt idx="76">
                  <c:v>0.178113710648546</c:v>
                </c:pt>
                <c:pt idx="77">
                  <c:v>0.215164286943059</c:v>
                </c:pt>
                <c:pt idx="78">
                  <c:v>0.253838379494237</c:v>
                </c:pt>
                <c:pt idx="79">
                  <c:v>0.27319155341476</c:v>
                </c:pt>
                <c:pt idx="80">
                  <c:v>0.258321864785825</c:v>
                </c:pt>
                <c:pt idx="81">
                  <c:v>0.271557285394805</c:v>
                </c:pt>
                <c:pt idx="82">
                  <c:v>0.280717787717186</c:v>
                </c:pt>
                <c:pt idx="83">
                  <c:v>0.277309478754516</c:v>
                </c:pt>
                <c:pt idx="84">
                  <c:v>0.283975571993807</c:v>
                </c:pt>
                <c:pt idx="85">
                  <c:v>0.30110313091347</c:v>
                </c:pt>
                <c:pt idx="86">
                  <c:v>0.303027696542233</c:v>
                </c:pt>
                <c:pt idx="87">
                  <c:v>0.275363409599174</c:v>
                </c:pt>
                <c:pt idx="88">
                  <c:v>0.273567865129881</c:v>
                </c:pt>
                <c:pt idx="89">
                  <c:v>0.255666179253397</c:v>
                </c:pt>
                <c:pt idx="90">
                  <c:v>0.259418544641321</c:v>
                </c:pt>
                <c:pt idx="91">
                  <c:v>0.293469378978152</c:v>
                </c:pt>
                <c:pt idx="92">
                  <c:v>0.295910029244796</c:v>
                </c:pt>
                <c:pt idx="93">
                  <c:v>0.29192112506451</c:v>
                </c:pt>
                <c:pt idx="94">
                  <c:v>0.302436349561328</c:v>
                </c:pt>
                <c:pt idx="95">
                  <c:v>0.313994495097196</c:v>
                </c:pt>
                <c:pt idx="96">
                  <c:v>0.290297608807844</c:v>
                </c:pt>
                <c:pt idx="97">
                  <c:v>0.27908351969723</c:v>
                </c:pt>
                <c:pt idx="98">
                  <c:v>0.259483055221056</c:v>
                </c:pt>
                <c:pt idx="99">
                  <c:v>0.261095819714433</c:v>
                </c:pt>
                <c:pt idx="100">
                  <c:v>0.269998279717874</c:v>
                </c:pt>
                <c:pt idx="101">
                  <c:v>0.228517976948219</c:v>
                </c:pt>
                <c:pt idx="102">
                  <c:v>0.23873215207294</c:v>
                </c:pt>
                <c:pt idx="103">
                  <c:v>0.243817736108722</c:v>
                </c:pt>
                <c:pt idx="104">
                  <c:v>0.259407792878032</c:v>
                </c:pt>
                <c:pt idx="105">
                  <c:v>0.240807242387751</c:v>
                </c:pt>
                <c:pt idx="106">
                  <c:v>0.278685704455531</c:v>
                </c:pt>
                <c:pt idx="107">
                  <c:v>0.288899879580251</c:v>
                </c:pt>
                <c:pt idx="108">
                  <c:v>0.285932392912438</c:v>
                </c:pt>
                <c:pt idx="109">
                  <c:v>0.288179511439876</c:v>
                </c:pt>
                <c:pt idx="110">
                  <c:v>0.308446585239979</c:v>
                </c:pt>
                <c:pt idx="111">
                  <c:v>0.281147858248753</c:v>
                </c:pt>
                <c:pt idx="112">
                  <c:v>0.284233614312747</c:v>
                </c:pt>
                <c:pt idx="113">
                  <c:v>0.302963185962498</c:v>
                </c:pt>
                <c:pt idx="114">
                  <c:v>0.32023051780492</c:v>
                </c:pt>
                <c:pt idx="115">
                  <c:v>0.326423533459487</c:v>
                </c:pt>
                <c:pt idx="116">
                  <c:v>0.326961121623946</c:v>
                </c:pt>
                <c:pt idx="117">
                  <c:v>0.318617753311543</c:v>
                </c:pt>
                <c:pt idx="118">
                  <c:v>0.322886203337347</c:v>
                </c:pt>
                <c:pt idx="119">
                  <c:v>0.311403320144504</c:v>
                </c:pt>
                <c:pt idx="120">
                  <c:v>0.295694993979012</c:v>
                </c:pt>
                <c:pt idx="121">
                  <c:v>0.309586272148632</c:v>
                </c:pt>
                <c:pt idx="122">
                  <c:v>0.334809908825047</c:v>
                </c:pt>
                <c:pt idx="123">
                  <c:v>0.33097152933081</c:v>
                </c:pt>
                <c:pt idx="124">
                  <c:v>0.306651040770686</c:v>
                </c:pt>
                <c:pt idx="125">
                  <c:v>0.321187424737657</c:v>
                </c:pt>
                <c:pt idx="126">
                  <c:v>0.285803371752968</c:v>
                </c:pt>
                <c:pt idx="127">
                  <c:v>0.275771976604163</c:v>
                </c:pt>
                <c:pt idx="128">
                  <c:v>0.268267245828316</c:v>
                </c:pt>
                <c:pt idx="129">
                  <c:v>0.288502064338552</c:v>
                </c:pt>
                <c:pt idx="130">
                  <c:v>0.311865645965938</c:v>
                </c:pt>
                <c:pt idx="131">
                  <c:v>0.327541716841562</c:v>
                </c:pt>
                <c:pt idx="132">
                  <c:v>0.3421103560984</c:v>
                </c:pt>
                <c:pt idx="133">
                  <c:v>0.36359237915018</c:v>
                </c:pt>
                <c:pt idx="134">
                  <c:v>0.36018407018751</c:v>
                </c:pt>
                <c:pt idx="135">
                  <c:v>0.354044813349389</c:v>
                </c:pt>
                <c:pt idx="136">
                  <c:v>0.362592465164287</c:v>
                </c:pt>
                <c:pt idx="137">
                  <c:v>0.364033201445037</c:v>
                </c:pt>
                <c:pt idx="138">
                  <c:v>0.342131859624978</c:v>
                </c:pt>
                <c:pt idx="139">
                  <c:v>0.382085412007569</c:v>
                </c:pt>
                <c:pt idx="140">
                  <c:v>0.384407792878032</c:v>
                </c:pt>
                <c:pt idx="141">
                  <c:v>0.356324187166695</c:v>
                </c:pt>
                <c:pt idx="142">
                  <c:v>0.380225356958541</c:v>
                </c:pt>
                <c:pt idx="143">
                  <c:v>0.359055135042147</c:v>
                </c:pt>
                <c:pt idx="144">
                  <c:v>0.362237656975744</c:v>
                </c:pt>
                <c:pt idx="145">
                  <c:v>0.384009977636332</c:v>
                </c:pt>
                <c:pt idx="146">
                  <c:v>0.386364613796663</c:v>
                </c:pt>
                <c:pt idx="147">
                  <c:v>0.383999225873043</c:v>
                </c:pt>
                <c:pt idx="148">
                  <c:v>0.377924479614657</c:v>
                </c:pt>
                <c:pt idx="149">
                  <c:v>0.40552425597798</c:v>
                </c:pt>
                <c:pt idx="150">
                  <c:v>0.400900997763633</c:v>
                </c:pt>
                <c:pt idx="151">
                  <c:v>0.392170565972819</c:v>
                </c:pt>
                <c:pt idx="152">
                  <c:v>0.392890934113194</c:v>
                </c:pt>
                <c:pt idx="153">
                  <c:v>0.386031309134698</c:v>
                </c:pt>
                <c:pt idx="154">
                  <c:v>0.40985721658352</c:v>
                </c:pt>
                <c:pt idx="155">
                  <c:v>0.409136848443145</c:v>
                </c:pt>
                <c:pt idx="156">
                  <c:v>0.403309392740409</c:v>
                </c:pt>
                <c:pt idx="157">
                  <c:v>0.388310682952004</c:v>
                </c:pt>
                <c:pt idx="158">
                  <c:v>0.362280664028901</c:v>
                </c:pt>
                <c:pt idx="159">
                  <c:v>0.376397729227593</c:v>
                </c:pt>
                <c:pt idx="160">
                  <c:v>0.385063650438672</c:v>
                </c:pt>
                <c:pt idx="161">
                  <c:v>0.346443316703939</c:v>
                </c:pt>
                <c:pt idx="162">
                  <c:v>0.345626182693962</c:v>
                </c:pt>
                <c:pt idx="163">
                  <c:v>0.338056941338379</c:v>
                </c:pt>
                <c:pt idx="164">
                  <c:v>0.365688972991571</c:v>
                </c:pt>
                <c:pt idx="165">
                  <c:v>0.360614140719078</c:v>
                </c:pt>
                <c:pt idx="166">
                  <c:v>0.32913297780836</c:v>
                </c:pt>
                <c:pt idx="167">
                  <c:v>0.333530448993635</c:v>
                </c:pt>
                <c:pt idx="168">
                  <c:v>0.374666695338035</c:v>
                </c:pt>
                <c:pt idx="169">
                  <c:v>0.375483829348013</c:v>
                </c:pt>
                <c:pt idx="170">
                  <c:v>0.36189360055049</c:v>
                </c:pt>
                <c:pt idx="171">
                  <c:v>0.400202133149836</c:v>
                </c:pt>
                <c:pt idx="172">
                  <c:v>0.392450111818338</c:v>
                </c:pt>
                <c:pt idx="173">
                  <c:v>0.409491656631687</c:v>
                </c:pt>
                <c:pt idx="174">
                  <c:v>0.396503526578359</c:v>
                </c:pt>
                <c:pt idx="175">
                  <c:v>0.419071477722346</c:v>
                </c:pt>
                <c:pt idx="176">
                  <c:v>0.413620333734732</c:v>
                </c:pt>
                <c:pt idx="177">
                  <c:v>0.436242043695166</c:v>
                </c:pt>
                <c:pt idx="178">
                  <c:v>0.451036469981077</c:v>
                </c:pt>
                <c:pt idx="179">
                  <c:v>0.468271546533631</c:v>
                </c:pt>
                <c:pt idx="180">
                  <c:v>0.471464820230518</c:v>
                </c:pt>
                <c:pt idx="181">
                  <c:v>0.480840357818682</c:v>
                </c:pt>
                <c:pt idx="182">
                  <c:v>0.466830810252881</c:v>
                </c:pt>
                <c:pt idx="183">
                  <c:v>0.484366936177533</c:v>
                </c:pt>
                <c:pt idx="184">
                  <c:v>0.506504816789954</c:v>
                </c:pt>
                <c:pt idx="185">
                  <c:v>0.506268277997592</c:v>
                </c:pt>
                <c:pt idx="186">
                  <c:v>0.501666523309823</c:v>
                </c:pt>
                <c:pt idx="187">
                  <c:v>0.515794340271804</c:v>
                </c:pt>
                <c:pt idx="188">
                  <c:v>0.534362635472217</c:v>
                </c:pt>
                <c:pt idx="189">
                  <c:v>0.516805006020987</c:v>
                </c:pt>
                <c:pt idx="190">
                  <c:v>0.52463228969551</c:v>
                </c:pt>
                <c:pt idx="191">
                  <c:v>0.5152029932909</c:v>
                </c:pt>
                <c:pt idx="192">
                  <c:v>0.538287029072768</c:v>
                </c:pt>
                <c:pt idx="193">
                  <c:v>0.538007483227249</c:v>
                </c:pt>
                <c:pt idx="194">
                  <c:v>0.528932995011182</c:v>
                </c:pt>
                <c:pt idx="195">
                  <c:v>0.557210132461724</c:v>
                </c:pt>
                <c:pt idx="196">
                  <c:v>0.546103560984001</c:v>
                </c:pt>
                <c:pt idx="197">
                  <c:v>0.564951402029933</c:v>
                </c:pt>
                <c:pt idx="198">
                  <c:v>0.560123860313091</c:v>
                </c:pt>
                <c:pt idx="199">
                  <c:v>0.491387837605367</c:v>
                </c:pt>
                <c:pt idx="200">
                  <c:v>0.50825735420609</c:v>
                </c:pt>
                <c:pt idx="201">
                  <c:v>0.49121580939274</c:v>
                </c:pt>
                <c:pt idx="202">
                  <c:v>0.544071477722346</c:v>
                </c:pt>
                <c:pt idx="203">
                  <c:v>0.52764278341648</c:v>
                </c:pt>
                <c:pt idx="204">
                  <c:v>0.552307328401858</c:v>
                </c:pt>
                <c:pt idx="205">
                  <c:v>0.562059177705144</c:v>
                </c:pt>
                <c:pt idx="206">
                  <c:v>0.595916480302769</c:v>
                </c:pt>
                <c:pt idx="207">
                  <c:v>0.60638869774643</c:v>
                </c:pt>
                <c:pt idx="208">
                  <c:v>0.618753225528987</c:v>
                </c:pt>
                <c:pt idx="209">
                  <c:v>0.618957509031481</c:v>
                </c:pt>
                <c:pt idx="210">
                  <c:v>0.637224754859797</c:v>
                </c:pt>
                <c:pt idx="211">
                  <c:v>0.629483485291588</c:v>
                </c:pt>
                <c:pt idx="212">
                  <c:v>0.651771890590057</c:v>
                </c:pt>
                <c:pt idx="213">
                  <c:v>0.620978840529847</c:v>
                </c:pt>
                <c:pt idx="214">
                  <c:v>0.648137794598314</c:v>
                </c:pt>
                <c:pt idx="215">
                  <c:v>0.615516944778944</c:v>
                </c:pt>
                <c:pt idx="216">
                  <c:v>0.617774815069671</c:v>
                </c:pt>
                <c:pt idx="217">
                  <c:v>0.645482109065887</c:v>
                </c:pt>
                <c:pt idx="218">
                  <c:v>0.669211250645106</c:v>
                </c:pt>
                <c:pt idx="219">
                  <c:v>0.649384999139859</c:v>
                </c:pt>
                <c:pt idx="220">
                  <c:v>0.568607001548254</c:v>
                </c:pt>
                <c:pt idx="221">
                  <c:v>0.540770686392568</c:v>
                </c:pt>
                <c:pt idx="222">
                  <c:v>0.562682779975916</c:v>
                </c:pt>
                <c:pt idx="223">
                  <c:v>0.55464046103561</c:v>
                </c:pt>
                <c:pt idx="224">
                  <c:v>0.590572853948047</c:v>
                </c:pt>
                <c:pt idx="225">
                  <c:v>0.584766901771891</c:v>
                </c:pt>
                <c:pt idx="226">
                  <c:v>0.562768794082229</c:v>
                </c:pt>
                <c:pt idx="227">
                  <c:v>0.595819714433167</c:v>
                </c:pt>
                <c:pt idx="228">
                  <c:v>0.640450283846551</c:v>
                </c:pt>
                <c:pt idx="229">
                  <c:v>0.642106055393084</c:v>
                </c:pt>
                <c:pt idx="230">
                  <c:v>0.673522707724067</c:v>
                </c:pt>
                <c:pt idx="231">
                  <c:v>0.679694219852056</c:v>
                </c:pt>
                <c:pt idx="232">
                  <c:v>0.610388353690005</c:v>
                </c:pt>
                <c:pt idx="233">
                  <c:v>0.652460003440564</c:v>
                </c:pt>
                <c:pt idx="234">
                  <c:v>0.618796232582143</c:v>
                </c:pt>
                <c:pt idx="235">
                  <c:v>0.54101797694822</c:v>
                </c:pt>
                <c:pt idx="236">
                  <c:v>0.592486667813521</c:v>
                </c:pt>
                <c:pt idx="237">
                  <c:v>0.596056253225529</c:v>
                </c:pt>
                <c:pt idx="238">
                  <c:v>0.517751161190435</c:v>
                </c:pt>
                <c:pt idx="239">
                  <c:v>0.506343540340616</c:v>
                </c:pt>
                <c:pt idx="240">
                  <c:v>0.433210046447617</c:v>
                </c:pt>
                <c:pt idx="241">
                  <c:v>0.500322552898675</c:v>
                </c:pt>
                <c:pt idx="242">
                  <c:v>0.431059693789781</c:v>
                </c:pt>
                <c:pt idx="243">
                  <c:v>0.451488044039222</c:v>
                </c:pt>
                <c:pt idx="244">
                  <c:v>0.475141923275417</c:v>
                </c:pt>
                <c:pt idx="245">
                  <c:v>0.368699466712541</c:v>
                </c:pt>
                <c:pt idx="246">
                  <c:v>0.373000172028213</c:v>
                </c:pt>
                <c:pt idx="247">
                  <c:v>0.451488044039222</c:v>
                </c:pt>
                <c:pt idx="248">
                  <c:v>0.422458283158438</c:v>
                </c:pt>
                <c:pt idx="249">
                  <c:v>0.433210046447617</c:v>
                </c:pt>
                <c:pt idx="250">
                  <c:v>0.49449509719594</c:v>
                </c:pt>
                <c:pt idx="251">
                  <c:v>0.520299329089971</c:v>
                </c:pt>
                <c:pt idx="252">
                  <c:v>0.532126268708068</c:v>
                </c:pt>
                <c:pt idx="253">
                  <c:v>0.479442628591089</c:v>
                </c:pt>
                <c:pt idx="254">
                  <c:v>0.505246860485119</c:v>
                </c:pt>
                <c:pt idx="255">
                  <c:v>0.462239807328402</c:v>
                </c:pt>
                <c:pt idx="256">
                  <c:v>0.417082401513848</c:v>
                </c:pt>
                <c:pt idx="257">
                  <c:v>0.332143471529331</c:v>
                </c:pt>
                <c:pt idx="258">
                  <c:v>0.355066230861861</c:v>
                </c:pt>
                <c:pt idx="259">
                  <c:v>0.34670135902288</c:v>
                </c:pt>
                <c:pt idx="260">
                  <c:v>0.362656975744022</c:v>
                </c:pt>
                <c:pt idx="261">
                  <c:v>0.361248494753139</c:v>
                </c:pt>
                <c:pt idx="262">
                  <c:v>0.390127730947875</c:v>
                </c:pt>
                <c:pt idx="263">
                  <c:v>0.389342852227765</c:v>
                </c:pt>
                <c:pt idx="264">
                  <c:v>0.379268450025804</c:v>
                </c:pt>
                <c:pt idx="265">
                  <c:v>0.335702305178049</c:v>
                </c:pt>
                <c:pt idx="266">
                  <c:v>0.345798210906589</c:v>
                </c:pt>
                <c:pt idx="267">
                  <c:v>0.349432306898331</c:v>
                </c:pt>
                <c:pt idx="268">
                  <c:v>0.304479184586272</c:v>
                </c:pt>
                <c:pt idx="269">
                  <c:v>0.18186607603647</c:v>
                </c:pt>
                <c:pt idx="270">
                  <c:v>-0.0331799415104077</c:v>
                </c:pt>
                <c:pt idx="271">
                  <c:v>0.0112570961637708</c:v>
                </c:pt>
                <c:pt idx="272">
                  <c:v>-0.0573176500946155</c:v>
                </c:pt>
                <c:pt idx="273">
                  <c:v>0.0415770686392567</c:v>
                </c:pt>
                <c:pt idx="274">
                  <c:v>0.000978410459315348</c:v>
                </c:pt>
                <c:pt idx="275">
                  <c:v>-0.0610592637192501</c:v>
                </c:pt>
                <c:pt idx="276">
                  <c:v>-0.139826681575778</c:v>
                </c:pt>
                <c:pt idx="277">
                  <c:v>-0.0363839669705832</c:v>
                </c:pt>
                <c:pt idx="278">
                  <c:v>-0.058070273524858</c:v>
                </c:pt>
                <c:pt idx="279">
                  <c:v>-0.0541351281610184</c:v>
                </c:pt>
                <c:pt idx="280">
                  <c:v>-0.0453724410803372</c:v>
                </c:pt>
                <c:pt idx="281">
                  <c:v>-0.0615861001204199</c:v>
                </c:pt>
                <c:pt idx="282">
                  <c:v>0.00184930328573873</c:v>
                </c:pt>
                <c:pt idx="283">
                  <c:v>-0.0427167555479099</c:v>
                </c:pt>
                <c:pt idx="284">
                  <c:v>-0.0859710992602787</c:v>
                </c:pt>
                <c:pt idx="285">
                  <c:v>-0.105507053156718</c:v>
                </c:pt>
                <c:pt idx="286">
                  <c:v>-0.11203337347325</c:v>
                </c:pt>
                <c:pt idx="287">
                  <c:v>-0.0661018407018751</c:v>
                </c:pt>
                <c:pt idx="288">
                  <c:v>-0.111001204197488</c:v>
                </c:pt>
                <c:pt idx="289">
                  <c:v>-0.172060467916738</c:v>
                </c:pt>
                <c:pt idx="290">
                  <c:v>-0.20964863237571</c:v>
                </c:pt>
                <c:pt idx="291">
                  <c:v>-0.265246000344056</c:v>
                </c:pt>
                <c:pt idx="292">
                  <c:v>-0.186575563392396</c:v>
                </c:pt>
                <c:pt idx="293">
                  <c:v>-0.17368419920867</c:v>
                </c:pt>
                <c:pt idx="294">
                  <c:v>-0.122720733700327</c:v>
                </c:pt>
                <c:pt idx="295">
                  <c:v>-0.0941639428866334</c:v>
                </c:pt>
                <c:pt idx="296">
                  <c:v>-0.0790471787373129</c:v>
                </c:pt>
                <c:pt idx="297">
                  <c:v>-0.06502677189059</c:v>
                </c:pt>
                <c:pt idx="298">
                  <c:v>-0.0686500086014107</c:v>
                </c:pt>
                <c:pt idx="299">
                  <c:v>-0.0565114828831928</c:v>
                </c:pt>
                <c:pt idx="300">
                  <c:v>-0.000913899879580237</c:v>
                </c:pt>
                <c:pt idx="301">
                  <c:v>-0.0507484302425598</c:v>
                </c:pt>
                <c:pt idx="302">
                  <c:v>-0.046318596249785</c:v>
                </c:pt>
                <c:pt idx="303">
                  <c:v>-0.0117625365559952</c:v>
                </c:pt>
                <c:pt idx="304">
                  <c:v>0.0107623000172028</c:v>
                </c:pt>
                <c:pt idx="305">
                  <c:v>0.0173425941854464</c:v>
                </c:pt>
                <c:pt idx="306">
                  <c:v>-0.0095153105109238</c:v>
                </c:pt>
                <c:pt idx="307">
                  <c:v>-0.0120205788749356</c:v>
                </c:pt>
                <c:pt idx="308">
                  <c:v>-0.0361905427490109</c:v>
                </c:pt>
                <c:pt idx="309">
                  <c:v>-0.0547803414760021</c:v>
                </c:pt>
                <c:pt idx="310">
                  <c:v>0.0110742086702218</c:v>
                </c:pt>
                <c:pt idx="311">
                  <c:v>0.0528769568209186</c:v>
                </c:pt>
                <c:pt idx="312">
                  <c:v>0.0617151212798899</c:v>
                </c:pt>
                <c:pt idx="313">
                  <c:v>0.0864441768450026</c:v>
                </c:pt>
                <c:pt idx="314">
                  <c:v>0.0795735850679511</c:v>
                </c:pt>
                <c:pt idx="315">
                  <c:v>0.103270578874935</c:v>
                </c:pt>
                <c:pt idx="316">
                  <c:v>0.106281072595906</c:v>
                </c:pt>
                <c:pt idx="317">
                  <c:v>0.0928091131945638</c:v>
                </c:pt>
                <c:pt idx="318">
                  <c:v>0.121118613452606</c:v>
                </c:pt>
                <c:pt idx="319">
                  <c:v>0.148610657147772</c:v>
                </c:pt>
                <c:pt idx="320">
                  <c:v>0.122892546877688</c:v>
                </c:pt>
                <c:pt idx="321">
                  <c:v>0.102281524169964</c:v>
                </c:pt>
                <c:pt idx="322">
                  <c:v>0.152040684672286</c:v>
                </c:pt>
                <c:pt idx="323">
                  <c:v>0.169447681919835</c:v>
                </c:pt>
                <c:pt idx="324">
                  <c:v>0.160760257182178</c:v>
                </c:pt>
                <c:pt idx="325">
                  <c:v>0.11408685274385</c:v>
                </c:pt>
                <c:pt idx="326">
                  <c:v>0.14968583347669</c:v>
                </c:pt>
                <c:pt idx="327">
                  <c:v>0.175683812145192</c:v>
                </c:pt>
                <c:pt idx="328">
                  <c:v>0.173425834336831</c:v>
                </c:pt>
                <c:pt idx="329">
                  <c:v>0.173544211250645</c:v>
                </c:pt>
                <c:pt idx="330">
                  <c:v>0.189123516256666</c:v>
                </c:pt>
                <c:pt idx="331">
                  <c:v>0.189585734560468</c:v>
                </c:pt>
                <c:pt idx="332">
                  <c:v>0.185349647342164</c:v>
                </c:pt>
                <c:pt idx="333">
                  <c:v>0.211164630999484</c:v>
                </c:pt>
                <c:pt idx="334">
                  <c:v>0.198929016858765</c:v>
                </c:pt>
                <c:pt idx="335">
                  <c:v>0.231055393084466</c:v>
                </c:pt>
                <c:pt idx="336">
                  <c:v>0.221432349905385</c:v>
                </c:pt>
                <c:pt idx="337">
                  <c:v>0.173834293824187</c:v>
                </c:pt>
                <c:pt idx="338">
                  <c:v>0.154599496817478</c:v>
                </c:pt>
                <c:pt idx="339">
                  <c:v>0.146342142611388</c:v>
                </c:pt>
                <c:pt idx="340">
                  <c:v>0.156362678479271</c:v>
                </c:pt>
                <c:pt idx="341">
                  <c:v>0.192553221228281</c:v>
                </c:pt>
                <c:pt idx="342">
                  <c:v>0.187521503526578</c:v>
                </c:pt>
                <c:pt idx="343">
                  <c:v>0.224303285738861</c:v>
                </c:pt>
                <c:pt idx="344">
                  <c:v>0.236442026492345</c:v>
                </c:pt>
                <c:pt idx="345">
                  <c:v>0.247097023911922</c:v>
                </c:pt>
                <c:pt idx="346">
                  <c:v>0.254289953552382</c:v>
                </c:pt>
                <c:pt idx="347">
                  <c:v>0.266665233098228</c:v>
                </c:pt>
                <c:pt idx="348">
                  <c:v>0.284158351969723</c:v>
                </c:pt>
                <c:pt idx="349">
                  <c:v>0.281749956992947</c:v>
                </c:pt>
                <c:pt idx="350">
                  <c:v>0.308790641665233</c:v>
                </c:pt>
                <c:pt idx="351">
                  <c:v>0.275900997763633</c:v>
                </c:pt>
                <c:pt idx="352">
                  <c:v>0.194391880268364</c:v>
                </c:pt>
                <c:pt idx="353">
                  <c:v>0.221056253225529</c:v>
                </c:pt>
                <c:pt idx="354">
                  <c:v>0.169458541200757</c:v>
                </c:pt>
                <c:pt idx="355">
                  <c:v>0.171307844486496</c:v>
                </c:pt>
                <c:pt idx="356">
                  <c:v>0.144933769138139</c:v>
                </c:pt>
                <c:pt idx="357">
                  <c:v>0.173662480646826</c:v>
                </c:pt>
                <c:pt idx="358">
                  <c:v>0.20152029932909</c:v>
                </c:pt>
                <c:pt idx="359">
                  <c:v>0.157706863925684</c:v>
                </c:pt>
                <c:pt idx="360">
                  <c:v>0.0994538104249096</c:v>
                </c:pt>
                <c:pt idx="361">
                  <c:v>0.158997075520385</c:v>
                </c:pt>
                <c:pt idx="362">
                  <c:v>0.144933769138139</c:v>
                </c:pt>
                <c:pt idx="363">
                  <c:v>0.185553930844659</c:v>
                </c:pt>
                <c:pt idx="364">
                  <c:v>0.184414243936005</c:v>
                </c:pt>
                <c:pt idx="365">
                  <c:v>0.205960777567521</c:v>
                </c:pt>
                <c:pt idx="366">
                  <c:v>0.160384052984689</c:v>
                </c:pt>
                <c:pt idx="367">
                  <c:v>0.15225571993807</c:v>
                </c:pt>
                <c:pt idx="368">
                  <c:v>0.144621968002752</c:v>
                </c:pt>
                <c:pt idx="369">
                  <c:v>0.187543007053157</c:v>
                </c:pt>
                <c:pt idx="370">
                  <c:v>0.192961895750903</c:v>
                </c:pt>
                <c:pt idx="371">
                  <c:v>0.210207724066747</c:v>
                </c:pt>
                <c:pt idx="372">
                  <c:v>0.235022793738173</c:v>
                </c:pt>
                <c:pt idx="373">
                  <c:v>0.232410115258902</c:v>
                </c:pt>
                <c:pt idx="374">
                  <c:v>0.252741699638741</c:v>
                </c:pt>
                <c:pt idx="375">
                  <c:v>0.264611646309995</c:v>
                </c:pt>
                <c:pt idx="376">
                  <c:v>0.272019611216239</c:v>
                </c:pt>
                <c:pt idx="377">
                  <c:v>0.272213142955445</c:v>
                </c:pt>
                <c:pt idx="378">
                  <c:v>0.31800490280406</c:v>
                </c:pt>
                <c:pt idx="379">
                  <c:v>0.289362205401686</c:v>
                </c:pt>
                <c:pt idx="380">
                  <c:v>0.289921297092723</c:v>
                </c:pt>
                <c:pt idx="381">
                  <c:v>0.278814725615001</c:v>
                </c:pt>
                <c:pt idx="382">
                  <c:v>0.316779201789093</c:v>
                </c:pt>
                <c:pt idx="383">
                  <c:v>0.333648718389816</c:v>
                </c:pt>
                <c:pt idx="384">
                  <c:v>0.337422587304318</c:v>
                </c:pt>
                <c:pt idx="385">
                  <c:v>0.351249354894203</c:v>
                </c:pt>
                <c:pt idx="386">
                  <c:v>0.352184758300361</c:v>
                </c:pt>
                <c:pt idx="387">
                  <c:v>0.367086702219164</c:v>
                </c:pt>
                <c:pt idx="388">
                  <c:v>0.39046103560984</c:v>
                </c:pt>
                <c:pt idx="389">
                  <c:v>0.379827541716841</c:v>
                </c:pt>
                <c:pt idx="390">
                  <c:v>0.372290555651127</c:v>
                </c:pt>
                <c:pt idx="391">
                  <c:v>0.409416394288663</c:v>
                </c:pt>
                <c:pt idx="392">
                  <c:v>0.429070617581283</c:v>
                </c:pt>
                <c:pt idx="393">
                  <c:v>0.443972561500086</c:v>
                </c:pt>
                <c:pt idx="394">
                  <c:v>0.419103733012214</c:v>
                </c:pt>
                <c:pt idx="395">
                  <c:v>0.42046920694994</c:v>
                </c:pt>
                <c:pt idx="396">
                  <c:v>0.402330982281094</c:v>
                </c:pt>
                <c:pt idx="397">
                  <c:v>0.372688370892826</c:v>
                </c:pt>
                <c:pt idx="398">
                  <c:v>0.407427318080165</c:v>
                </c:pt>
                <c:pt idx="399">
                  <c:v>0.432575692413556</c:v>
                </c:pt>
                <c:pt idx="400">
                  <c:v>0.428016944778944</c:v>
                </c:pt>
                <c:pt idx="401">
                  <c:v>0.413340787889214</c:v>
                </c:pt>
                <c:pt idx="402">
                  <c:v>0.437919318768278</c:v>
                </c:pt>
                <c:pt idx="403">
                  <c:v>0.462755891966282</c:v>
                </c:pt>
                <c:pt idx="404">
                  <c:v>0.435467916738345</c:v>
                </c:pt>
                <c:pt idx="405">
                  <c:v>0.450036555995183</c:v>
                </c:pt>
                <c:pt idx="406">
                  <c:v>0.444606915534147</c:v>
                </c:pt>
                <c:pt idx="407">
                  <c:v>0.431167211422673</c:v>
                </c:pt>
                <c:pt idx="408">
                  <c:v>0.397901255805952</c:v>
                </c:pt>
                <c:pt idx="409">
                  <c:v>0.366527610528126</c:v>
                </c:pt>
                <c:pt idx="410">
                  <c:v>0.367086702219164</c:v>
                </c:pt>
                <c:pt idx="411">
                  <c:v>0.363807414415964</c:v>
                </c:pt>
                <c:pt idx="412">
                  <c:v>0.4403814725615</c:v>
                </c:pt>
                <c:pt idx="413">
                  <c:v>0.444821950799931</c:v>
                </c:pt>
                <c:pt idx="414">
                  <c:v>0.415082573542061</c:v>
                </c:pt>
                <c:pt idx="415">
                  <c:v>0.446133665921211</c:v>
                </c:pt>
                <c:pt idx="416">
                  <c:v>0.389428866334079</c:v>
                </c:pt>
                <c:pt idx="417">
                  <c:v>0.289544985377602</c:v>
                </c:pt>
                <c:pt idx="418">
                  <c:v>0.26742860829176</c:v>
                </c:pt>
                <c:pt idx="419">
                  <c:v>0.207992860829176</c:v>
                </c:pt>
                <c:pt idx="420">
                  <c:v>0.246419662824703</c:v>
                </c:pt>
                <c:pt idx="421">
                  <c:v>0.294963874075348</c:v>
                </c:pt>
                <c:pt idx="422">
                  <c:v>0.241000774126957</c:v>
                </c:pt>
                <c:pt idx="423">
                  <c:v>0.307425167727507</c:v>
                </c:pt>
                <c:pt idx="424">
                  <c:v>0.221862635472218</c:v>
                </c:pt>
                <c:pt idx="425">
                  <c:v>0.216476002064339</c:v>
                </c:pt>
                <c:pt idx="426">
                  <c:v>0.252548167899536</c:v>
                </c:pt>
                <c:pt idx="427">
                  <c:v>0.294146740065371</c:v>
                </c:pt>
                <c:pt idx="428">
                  <c:v>0.306758558403578</c:v>
                </c:pt>
                <c:pt idx="429">
                  <c:v>0.3811607603647</c:v>
                </c:pt>
                <c:pt idx="430">
                  <c:v>0.355958627214863</c:v>
                </c:pt>
                <c:pt idx="431">
                  <c:v>0.358861603302941</c:v>
                </c:pt>
                <c:pt idx="432">
                  <c:v>0.307038104249097</c:v>
                </c:pt>
                <c:pt idx="433">
                  <c:v>0.245774557027352</c:v>
                </c:pt>
                <c:pt idx="434">
                  <c:v>0.337820402546017</c:v>
                </c:pt>
                <c:pt idx="435">
                  <c:v>0.349550576294512</c:v>
                </c:pt>
                <c:pt idx="436">
                  <c:v>0.311349561328058</c:v>
                </c:pt>
                <c:pt idx="437">
                  <c:v>0.36045286426974</c:v>
                </c:pt>
                <c:pt idx="438">
                  <c:v>0.352141751247204</c:v>
                </c:pt>
                <c:pt idx="439">
                  <c:v>0.373871064854636</c:v>
                </c:pt>
                <c:pt idx="440">
                  <c:v>0.392890934113194</c:v>
                </c:pt>
                <c:pt idx="441">
                  <c:v>0.413319284362635</c:v>
                </c:pt>
                <c:pt idx="442">
                  <c:v>0.417544727335283</c:v>
                </c:pt>
                <c:pt idx="443">
                  <c:v>0.425189231033889</c:v>
                </c:pt>
                <c:pt idx="444">
                  <c:v>0.453584637880612</c:v>
                </c:pt>
                <c:pt idx="445">
                  <c:v>0.460132461723723</c:v>
                </c:pt>
                <c:pt idx="446">
                  <c:v>0.465959917426458</c:v>
                </c:pt>
                <c:pt idx="447">
                  <c:v>0.474045243419921</c:v>
                </c:pt>
                <c:pt idx="448">
                  <c:v>0.475120419748839</c:v>
                </c:pt>
                <c:pt idx="449">
                  <c:v>0.509095991742646</c:v>
                </c:pt>
                <c:pt idx="450">
                  <c:v>0.497494839153621</c:v>
                </c:pt>
                <c:pt idx="451">
                  <c:v>0.499806468260795</c:v>
                </c:pt>
                <c:pt idx="452">
                  <c:v>0.503182521933597</c:v>
                </c:pt>
                <c:pt idx="453">
                  <c:v>0.491731894030621</c:v>
                </c:pt>
                <c:pt idx="454">
                  <c:v>0.480431790813693</c:v>
                </c:pt>
                <c:pt idx="455">
                  <c:v>0.505225356958541</c:v>
                </c:pt>
                <c:pt idx="456">
                  <c:v>0.496183124032341</c:v>
                </c:pt>
                <c:pt idx="457">
                  <c:v>0.460121709960433</c:v>
                </c:pt>
                <c:pt idx="458">
                  <c:v>0.402954584551866</c:v>
                </c:pt>
                <c:pt idx="459">
                  <c:v>0.419963874075348</c:v>
                </c:pt>
                <c:pt idx="460">
                  <c:v>0.408835799071048</c:v>
                </c:pt>
                <c:pt idx="461">
                  <c:v>0.413846120763805</c:v>
                </c:pt>
                <c:pt idx="462">
                  <c:v>0.429016858764837</c:v>
                </c:pt>
                <c:pt idx="463">
                  <c:v>0.425156975744022</c:v>
                </c:pt>
                <c:pt idx="464">
                  <c:v>0.428952348185102</c:v>
                </c:pt>
                <c:pt idx="465">
                  <c:v>0.4703896439016</c:v>
                </c:pt>
                <c:pt idx="466">
                  <c:v>0.435102356786513</c:v>
                </c:pt>
                <c:pt idx="467">
                  <c:v>0.479990968518837</c:v>
                </c:pt>
                <c:pt idx="468">
                  <c:v>0.46226131085498</c:v>
                </c:pt>
                <c:pt idx="469">
                  <c:v>0.467615688972991</c:v>
                </c:pt>
                <c:pt idx="470">
                  <c:v>0.50825735420609</c:v>
                </c:pt>
                <c:pt idx="471">
                  <c:v>0.52227765353518</c:v>
                </c:pt>
                <c:pt idx="472">
                  <c:v>0.507483227249269</c:v>
                </c:pt>
                <c:pt idx="473">
                  <c:v>0.505322122828144</c:v>
                </c:pt>
                <c:pt idx="474">
                  <c:v>0.539781524169964</c:v>
                </c:pt>
                <c:pt idx="475">
                  <c:v>0.569746688456907</c:v>
                </c:pt>
                <c:pt idx="476">
                  <c:v>0.570036986065715</c:v>
                </c:pt>
                <c:pt idx="477">
                  <c:v>0.570036986065715</c:v>
                </c:pt>
                <c:pt idx="478">
                  <c:v>0.571262687080681</c:v>
                </c:pt>
                <c:pt idx="479">
                  <c:v>0.540555651126785</c:v>
                </c:pt>
                <c:pt idx="480">
                  <c:v>0.566897471185274</c:v>
                </c:pt>
                <c:pt idx="481">
                  <c:v>0.519191897471185</c:v>
                </c:pt>
                <c:pt idx="482">
                  <c:v>0.534910975399965</c:v>
                </c:pt>
                <c:pt idx="483">
                  <c:v>0.481066144847755</c:v>
                </c:pt>
                <c:pt idx="484">
                  <c:v>0.455068381214519</c:v>
                </c:pt>
                <c:pt idx="485">
                  <c:v>0.495602528814725</c:v>
                </c:pt>
                <c:pt idx="486">
                  <c:v>0.522395922931361</c:v>
                </c:pt>
                <c:pt idx="487">
                  <c:v>0.520234818510236</c:v>
                </c:pt>
                <c:pt idx="488">
                  <c:v>0.526159040082574</c:v>
                </c:pt>
                <c:pt idx="489">
                  <c:v>0.552221314295545</c:v>
                </c:pt>
                <c:pt idx="490">
                  <c:v>0.524707552038534</c:v>
                </c:pt>
                <c:pt idx="491">
                  <c:v>0.569080079132978</c:v>
                </c:pt>
                <c:pt idx="492">
                  <c:v>0.582788577326681</c:v>
                </c:pt>
                <c:pt idx="493">
                  <c:v>0.592271632547738</c:v>
                </c:pt>
                <c:pt idx="494">
                  <c:v>0.607195079993119</c:v>
                </c:pt>
                <c:pt idx="495">
                  <c:v>0.610732410115259</c:v>
                </c:pt>
                <c:pt idx="496">
                  <c:v>0.622860399105453</c:v>
                </c:pt>
                <c:pt idx="497">
                  <c:v>0.635751763289179</c:v>
                </c:pt>
                <c:pt idx="498">
                  <c:v>0.615366420092895</c:v>
                </c:pt>
                <c:pt idx="499">
                  <c:v>0.628548081885429</c:v>
                </c:pt>
                <c:pt idx="500">
                  <c:v>0.660351797694822</c:v>
                </c:pt>
                <c:pt idx="501">
                  <c:v>0.680747892654395</c:v>
                </c:pt>
                <c:pt idx="502">
                  <c:v>0.662007569241355</c:v>
                </c:pt>
                <c:pt idx="503">
                  <c:v>0.687155943574746</c:v>
                </c:pt>
                <c:pt idx="504">
                  <c:v>0.677253569585412</c:v>
                </c:pt>
                <c:pt idx="505">
                  <c:v>0.713153707207982</c:v>
                </c:pt>
                <c:pt idx="506">
                  <c:v>0.657502580423189</c:v>
                </c:pt>
                <c:pt idx="507">
                  <c:v>0.704326509547566</c:v>
                </c:pt>
                <c:pt idx="508">
                  <c:v>0.717690951316016</c:v>
                </c:pt>
                <c:pt idx="509">
                  <c:v>0.74895707896095</c:v>
                </c:pt>
                <c:pt idx="510">
                  <c:v>0.774546275589196</c:v>
                </c:pt>
                <c:pt idx="511">
                  <c:v>0.774589282642353</c:v>
                </c:pt>
                <c:pt idx="512">
                  <c:v>0.778782470325133</c:v>
                </c:pt>
                <c:pt idx="513">
                  <c:v>0.744430586616205</c:v>
                </c:pt>
                <c:pt idx="514">
                  <c:v>0.759375537588164</c:v>
                </c:pt>
                <c:pt idx="515">
                  <c:v>0.707584293824187</c:v>
                </c:pt>
                <c:pt idx="516">
                  <c:v>0.734474453810425</c:v>
                </c:pt>
                <c:pt idx="517">
                  <c:v>0.736850593497333</c:v>
                </c:pt>
                <c:pt idx="518">
                  <c:v>0.800941854464132</c:v>
                </c:pt>
                <c:pt idx="519">
                  <c:v>0.816370634784104</c:v>
                </c:pt>
                <c:pt idx="520">
                  <c:v>0.817316789953552</c:v>
                </c:pt>
                <c:pt idx="521">
                  <c:v>0.835186220540168</c:v>
                </c:pt>
                <c:pt idx="522">
                  <c:v>0.825090314811629</c:v>
                </c:pt>
                <c:pt idx="523">
                  <c:v>0.786211938757956</c:v>
                </c:pt>
                <c:pt idx="524">
                  <c:v>0.781524169963874</c:v>
                </c:pt>
                <c:pt idx="525">
                  <c:v>0.761321606743506</c:v>
                </c:pt>
                <c:pt idx="526">
                  <c:v>0.779502838465508</c:v>
                </c:pt>
                <c:pt idx="527">
                  <c:v>0.809973335627043</c:v>
                </c:pt>
                <c:pt idx="528">
                  <c:v>0.851819198348529</c:v>
                </c:pt>
                <c:pt idx="529">
                  <c:v>0.826369774643041</c:v>
                </c:pt>
                <c:pt idx="530">
                  <c:v>0.804855496301393</c:v>
                </c:pt>
                <c:pt idx="531">
                  <c:v>0.819800447273353</c:v>
                </c:pt>
                <c:pt idx="532">
                  <c:v>0.859485205573714</c:v>
                </c:pt>
                <c:pt idx="533">
                  <c:v>0.883784190607259</c:v>
                </c:pt>
                <c:pt idx="534">
                  <c:v>0.888590228797523</c:v>
                </c:pt>
                <c:pt idx="535">
                  <c:v>0.878494323068983</c:v>
                </c:pt>
                <c:pt idx="536">
                  <c:v>0.925232238087046</c:v>
                </c:pt>
                <c:pt idx="537">
                  <c:v>0.930855410287287</c:v>
                </c:pt>
                <c:pt idx="538">
                  <c:v>0.943090916910373</c:v>
                </c:pt>
                <c:pt idx="539">
                  <c:v>0.919222002408395</c:v>
                </c:pt>
                <c:pt idx="540">
                  <c:v>0.908975571993807</c:v>
                </c:pt>
                <c:pt idx="541">
                  <c:v>0.945639084809909</c:v>
                </c:pt>
                <c:pt idx="542">
                  <c:v>0.980496301393428</c:v>
                </c:pt>
                <c:pt idx="543">
                  <c:v>0.969701531051092</c:v>
                </c:pt>
                <c:pt idx="544">
                  <c:v>0.976313865473938</c:v>
                </c:pt>
                <c:pt idx="545">
                  <c:v>0.984657233786341</c:v>
                </c:pt>
                <c:pt idx="546">
                  <c:v>0.965916910373301</c:v>
                </c:pt>
                <c:pt idx="547">
                  <c:v>0.929070617581283</c:v>
                </c:pt>
                <c:pt idx="548">
                  <c:v>0.906749956992947</c:v>
                </c:pt>
                <c:pt idx="549">
                  <c:v>0.967389901943919</c:v>
                </c:pt>
                <c:pt idx="550">
                  <c:v>0.978087906416652</c:v>
                </c:pt>
                <c:pt idx="551">
                  <c:v>0.993688714949251</c:v>
                </c:pt>
                <c:pt idx="552">
                  <c:v>1.018138224668846</c:v>
                </c:pt>
                <c:pt idx="553">
                  <c:v>0.985141063134354</c:v>
                </c:pt>
                <c:pt idx="554">
                  <c:v>1.012740839497678</c:v>
                </c:pt>
                <c:pt idx="555">
                  <c:v>0.988044039222432</c:v>
                </c:pt>
                <c:pt idx="556">
                  <c:v>1.030760794770342</c:v>
                </c:pt>
                <c:pt idx="557">
                  <c:v>0.970884225012902</c:v>
                </c:pt>
                <c:pt idx="558">
                  <c:v>1.005042576982625</c:v>
                </c:pt>
                <c:pt idx="559">
                  <c:v>1.019837003268536</c:v>
                </c:pt>
                <c:pt idx="560">
                  <c:v>1.02528814725615</c:v>
                </c:pt>
                <c:pt idx="561">
                  <c:v>1.01663297780836</c:v>
                </c:pt>
                <c:pt idx="562">
                  <c:v>1.011493634956133</c:v>
                </c:pt>
                <c:pt idx="563">
                  <c:v>1.034760450713917</c:v>
                </c:pt>
                <c:pt idx="564">
                  <c:v>1.064370806812317</c:v>
                </c:pt>
                <c:pt idx="565">
                  <c:v>1.086336659212111</c:v>
                </c:pt>
                <c:pt idx="566">
                  <c:v>1.07520858420781</c:v>
                </c:pt>
                <c:pt idx="567">
                  <c:v>1.10678651298813</c:v>
                </c:pt>
                <c:pt idx="568">
                  <c:v>1.104356614484776</c:v>
                </c:pt>
                <c:pt idx="569">
                  <c:v>1.13469809048684</c:v>
                </c:pt>
                <c:pt idx="570">
                  <c:v>1.112377429898503</c:v>
                </c:pt>
                <c:pt idx="571">
                  <c:v>1.105324273180802</c:v>
                </c:pt>
                <c:pt idx="572">
                  <c:v>1.137429038362291</c:v>
                </c:pt>
                <c:pt idx="573">
                  <c:v>1.075810682952004</c:v>
                </c:pt>
                <c:pt idx="574">
                  <c:v>1.053124462411835</c:v>
                </c:pt>
                <c:pt idx="575">
                  <c:v>1.102163254773783</c:v>
                </c:pt>
                <c:pt idx="576">
                  <c:v>1.142149062446241</c:v>
                </c:pt>
                <c:pt idx="577">
                  <c:v>1.146847583003613</c:v>
                </c:pt>
                <c:pt idx="578">
                  <c:v>1.147825993462928</c:v>
                </c:pt>
                <c:pt idx="579">
                  <c:v>1.147610958197144</c:v>
                </c:pt>
                <c:pt idx="580">
                  <c:v>1.162566660932393</c:v>
                </c:pt>
                <c:pt idx="581">
                  <c:v>1.113785910889386</c:v>
                </c:pt>
                <c:pt idx="582">
                  <c:v>1.092475916050232</c:v>
                </c:pt>
                <c:pt idx="583">
                  <c:v>1.073165749182866</c:v>
                </c:pt>
                <c:pt idx="584">
                  <c:v>1.002795458455187</c:v>
                </c:pt>
                <c:pt idx="585">
                  <c:v>1.097475485979701</c:v>
                </c:pt>
                <c:pt idx="586">
                  <c:v>1.144600464476174</c:v>
                </c:pt>
                <c:pt idx="587">
                  <c:v>1.183908911061414</c:v>
                </c:pt>
                <c:pt idx="588">
                  <c:v>1.192639342852228</c:v>
                </c:pt>
                <c:pt idx="589">
                  <c:v>1.207068209186307</c:v>
                </c:pt>
                <c:pt idx="590">
                  <c:v>1.228657749870979</c:v>
                </c:pt>
                <c:pt idx="591">
                  <c:v>1.227679339411663</c:v>
                </c:pt>
                <c:pt idx="592">
                  <c:v>1.188338637536556</c:v>
                </c:pt>
                <c:pt idx="593">
                  <c:v>1.216185704455531</c:v>
                </c:pt>
                <c:pt idx="594">
                  <c:v>1.238388095647686</c:v>
                </c:pt>
                <c:pt idx="595">
                  <c:v>1.213680543609152</c:v>
                </c:pt>
                <c:pt idx="596">
                  <c:v>1.217164114914846</c:v>
                </c:pt>
                <c:pt idx="597">
                  <c:v>1.142471615344916</c:v>
                </c:pt>
                <c:pt idx="598">
                  <c:v>1.218250043007053</c:v>
                </c:pt>
                <c:pt idx="599">
                  <c:v>1.173200154825391</c:v>
                </c:pt>
                <c:pt idx="600">
                  <c:v>1.217572681919835</c:v>
                </c:pt>
                <c:pt idx="601">
                  <c:v>1.245484259418545</c:v>
                </c:pt>
                <c:pt idx="602">
                  <c:v>1.255128591088938</c:v>
                </c:pt>
                <c:pt idx="603">
                  <c:v>1.263256924135558</c:v>
                </c:pt>
                <c:pt idx="604">
                  <c:v>1.258988474109754</c:v>
                </c:pt>
                <c:pt idx="605">
                  <c:v>1.221260536728023</c:v>
                </c:pt>
                <c:pt idx="606">
                  <c:v>1.24633364871839</c:v>
                </c:pt>
                <c:pt idx="607">
                  <c:v>1.210723808704627</c:v>
                </c:pt>
                <c:pt idx="608">
                  <c:v>1.22234646482023</c:v>
                </c:pt>
                <c:pt idx="609">
                  <c:v>1.248387235506623</c:v>
                </c:pt>
                <c:pt idx="610">
                  <c:v>1.26323542060898</c:v>
                </c:pt>
                <c:pt idx="611">
                  <c:v>1.271772320660588</c:v>
                </c:pt>
                <c:pt idx="612">
                  <c:v>1.242290985721659</c:v>
                </c:pt>
                <c:pt idx="613">
                  <c:v>1.244968174780664</c:v>
                </c:pt>
                <c:pt idx="614">
                  <c:v>1.280556511267848</c:v>
                </c:pt>
                <c:pt idx="615">
                  <c:v>1.29100722518493</c:v>
                </c:pt>
                <c:pt idx="616">
                  <c:v>1.280223206605883</c:v>
                </c:pt>
                <c:pt idx="617">
                  <c:v>1.253397557199381</c:v>
                </c:pt>
                <c:pt idx="618">
                  <c:v>1.267396353001892</c:v>
                </c:pt>
                <c:pt idx="619">
                  <c:v>1.280707035953896</c:v>
                </c:pt>
                <c:pt idx="620">
                  <c:v>1.260353948047479</c:v>
                </c:pt>
                <c:pt idx="621">
                  <c:v>1.232904696370205</c:v>
                </c:pt>
                <c:pt idx="622">
                  <c:v>1.205519955272665</c:v>
                </c:pt>
                <c:pt idx="623">
                  <c:v>1.283986323757096</c:v>
                </c:pt>
                <c:pt idx="624">
                  <c:v>1.260181919834853</c:v>
                </c:pt>
                <c:pt idx="625">
                  <c:v>1.267149062446241</c:v>
                </c:pt>
                <c:pt idx="626">
                  <c:v>1.240194391880268</c:v>
                </c:pt>
                <c:pt idx="627">
                  <c:v>1.240011611904352</c:v>
                </c:pt>
                <c:pt idx="628">
                  <c:v>1.188768708068123</c:v>
                </c:pt>
                <c:pt idx="629">
                  <c:v>1.137084981937038</c:v>
                </c:pt>
                <c:pt idx="630">
                  <c:v>1.097808790641665</c:v>
                </c:pt>
                <c:pt idx="631">
                  <c:v>1.09905599518321</c:v>
                </c:pt>
                <c:pt idx="632">
                  <c:v>1.13981592981249</c:v>
                </c:pt>
                <c:pt idx="633">
                  <c:v>1.077498709788405</c:v>
                </c:pt>
                <c:pt idx="634">
                  <c:v>1.068445725098916</c:v>
                </c:pt>
                <c:pt idx="635">
                  <c:v>1.164792275933253</c:v>
                </c:pt>
                <c:pt idx="636">
                  <c:v>1.176006365043867</c:v>
                </c:pt>
                <c:pt idx="637">
                  <c:v>1.206810166867367</c:v>
                </c:pt>
                <c:pt idx="638">
                  <c:v>1.246484173404438</c:v>
                </c:pt>
                <c:pt idx="639">
                  <c:v>1.257795028384655</c:v>
                </c:pt>
                <c:pt idx="640">
                  <c:v>1.199778513676243</c:v>
                </c:pt>
                <c:pt idx="641">
                  <c:v>1.237699982797178</c:v>
                </c:pt>
                <c:pt idx="642">
                  <c:v>1.245903578186823</c:v>
                </c:pt>
                <c:pt idx="643">
                  <c:v>1.203702907276793</c:v>
                </c:pt>
                <c:pt idx="644">
                  <c:v>1.206509117495269</c:v>
                </c:pt>
                <c:pt idx="645">
                  <c:v>1.195391794254258</c:v>
                </c:pt>
                <c:pt idx="646">
                  <c:v>1.21592766213659</c:v>
                </c:pt>
                <c:pt idx="647">
                  <c:v>1.197595905728539</c:v>
                </c:pt>
                <c:pt idx="648">
                  <c:v>1.089164372957165</c:v>
                </c:pt>
                <c:pt idx="649">
                  <c:v>1.066316875967658</c:v>
                </c:pt>
                <c:pt idx="650">
                  <c:v>1.009493806984346</c:v>
                </c:pt>
                <c:pt idx="651">
                  <c:v>1.035695854120076</c:v>
                </c:pt>
                <c:pt idx="652">
                  <c:v>1.059446499225873</c:v>
                </c:pt>
                <c:pt idx="653">
                  <c:v>0.966035179769482</c:v>
                </c:pt>
                <c:pt idx="654">
                  <c:v>1.062005418888698</c:v>
                </c:pt>
                <c:pt idx="655">
                  <c:v>1.098421641149149</c:v>
                </c:pt>
                <c:pt idx="656">
                  <c:v>1.14321348701187</c:v>
                </c:pt>
                <c:pt idx="657">
                  <c:v>1.124462411835541</c:v>
                </c:pt>
                <c:pt idx="658">
                  <c:v>1.193994065026664</c:v>
                </c:pt>
                <c:pt idx="659">
                  <c:v>1.189037502150353</c:v>
                </c:pt>
                <c:pt idx="660">
                  <c:v>1.214583691725442</c:v>
                </c:pt>
                <c:pt idx="661">
                  <c:v>1.195413297780836</c:v>
                </c:pt>
                <c:pt idx="662">
                  <c:v>1.239097712024772</c:v>
                </c:pt>
                <c:pt idx="663">
                  <c:v>1.248709788405298</c:v>
                </c:pt>
                <c:pt idx="664">
                  <c:v>1.231861775331154</c:v>
                </c:pt>
                <c:pt idx="665">
                  <c:v>1.204788835369</c:v>
                </c:pt>
                <c:pt idx="666">
                  <c:v>1.219282212282815</c:v>
                </c:pt>
                <c:pt idx="667">
                  <c:v>1.19340271804576</c:v>
                </c:pt>
                <c:pt idx="668">
                  <c:v>1.247226045071391</c:v>
                </c:pt>
                <c:pt idx="669">
                  <c:v>1.263525718217788</c:v>
                </c:pt>
                <c:pt idx="670">
                  <c:v>1.274514020299329</c:v>
                </c:pt>
                <c:pt idx="671">
                  <c:v>1.234205659728195</c:v>
                </c:pt>
                <c:pt idx="672">
                  <c:v>1.272191639428867</c:v>
                </c:pt>
                <c:pt idx="673">
                  <c:v>1.256644589712713</c:v>
                </c:pt>
                <c:pt idx="674">
                  <c:v>1.255612420436952</c:v>
                </c:pt>
                <c:pt idx="675">
                  <c:v>1.326412781696198</c:v>
                </c:pt>
                <c:pt idx="676">
                  <c:v>1.327939532083262</c:v>
                </c:pt>
                <c:pt idx="677">
                  <c:v>1.33319714433167</c:v>
                </c:pt>
                <c:pt idx="678">
                  <c:v>1.327079391020127</c:v>
                </c:pt>
                <c:pt idx="679">
                  <c:v>1.350077412695682</c:v>
                </c:pt>
                <c:pt idx="680">
                  <c:v>1.351432134870119</c:v>
                </c:pt>
                <c:pt idx="681">
                  <c:v>1.335788319284362</c:v>
                </c:pt>
                <c:pt idx="682">
                  <c:v>1.350851539652503</c:v>
                </c:pt>
                <c:pt idx="683">
                  <c:v>1.345282126268708</c:v>
                </c:pt>
                <c:pt idx="684">
                  <c:v>1.308683124032342</c:v>
                </c:pt>
                <c:pt idx="685">
                  <c:v>1.340852399793566</c:v>
                </c:pt>
                <c:pt idx="686">
                  <c:v>1.312844056425254</c:v>
                </c:pt>
                <c:pt idx="687">
                  <c:v>1.323208756236022</c:v>
                </c:pt>
                <c:pt idx="688">
                  <c:v>1.292867280233958</c:v>
                </c:pt>
                <c:pt idx="689">
                  <c:v>1.302318080165147</c:v>
                </c:pt>
                <c:pt idx="690">
                  <c:v>1.293394116635128</c:v>
                </c:pt>
                <c:pt idx="691">
                  <c:v>1.24567779115775</c:v>
                </c:pt>
                <c:pt idx="692">
                  <c:v>1.330423189403062</c:v>
                </c:pt>
                <c:pt idx="693">
                  <c:v>1.35153965250301</c:v>
                </c:pt>
                <c:pt idx="694">
                  <c:v>1.370462755891966</c:v>
                </c:pt>
                <c:pt idx="695">
                  <c:v>1.355797350765525</c:v>
                </c:pt>
                <c:pt idx="696">
                  <c:v>1.415050318252193</c:v>
                </c:pt>
                <c:pt idx="697">
                  <c:v>1.432081111302254</c:v>
                </c:pt>
                <c:pt idx="698">
                  <c:v>1.430930672630311</c:v>
                </c:pt>
                <c:pt idx="699">
                  <c:v>1.418351109581971</c:v>
                </c:pt>
                <c:pt idx="700">
                  <c:v>1.439575090314812</c:v>
                </c:pt>
                <c:pt idx="701">
                  <c:v>1.441123344228453</c:v>
                </c:pt>
                <c:pt idx="702">
                  <c:v>1.433865904008257</c:v>
                </c:pt>
                <c:pt idx="703">
                  <c:v>1.46933597109926</c:v>
                </c:pt>
                <c:pt idx="704">
                  <c:v>1.45231592981249</c:v>
                </c:pt>
                <c:pt idx="705">
                  <c:v>1.481367194219852</c:v>
                </c:pt>
                <c:pt idx="706">
                  <c:v>1.523675382762773</c:v>
                </c:pt>
                <c:pt idx="707">
                  <c:v>1.541512558059522</c:v>
                </c:pt>
                <c:pt idx="708">
                  <c:v>1.560984001376226</c:v>
                </c:pt>
                <c:pt idx="709">
                  <c:v>1.542652244968175</c:v>
                </c:pt>
                <c:pt idx="710">
                  <c:v>1.56040340615861</c:v>
                </c:pt>
                <c:pt idx="711">
                  <c:v>1.522320660588337</c:v>
                </c:pt>
                <c:pt idx="712">
                  <c:v>1.546082057457423</c:v>
                </c:pt>
                <c:pt idx="713">
                  <c:v>1.53471744366076</c:v>
                </c:pt>
                <c:pt idx="714">
                  <c:v>1.504031911233442</c:v>
                </c:pt>
                <c:pt idx="715">
                  <c:v>1.532943402718046</c:v>
                </c:pt>
                <c:pt idx="716">
                  <c:v>1.568348959229314</c:v>
                </c:pt>
                <c:pt idx="717">
                  <c:v>1.569155341476002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CF-4639-9ADF-946A7AEF6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7842592"/>
        <c:axId val="-1727840544"/>
      </c:lineChart>
      <c:dateAx>
        <c:axId val="-172784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m\ \'yy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7840544"/>
        <c:crosses val="autoZero"/>
        <c:auto val="1"/>
        <c:lblOffset val="100"/>
        <c:baseTimeUnit val="days"/>
        <c:majorUnit val="1.0"/>
        <c:majorTimeUnit val="years"/>
      </c:dateAx>
      <c:valAx>
        <c:axId val="-17278405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784259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1" r="0.700000000000001" t="0.750000000000002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0177975528365"/>
          <c:y val="0.309328968903462"/>
          <c:w val="0.68409343715241"/>
          <c:h val="0.39934533551555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4572A7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48-4B56-8110-1F02ACC80595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48-4B56-8110-1F02ACC80595}"/>
              </c:ext>
            </c:extLst>
          </c:dPt>
          <c:dPt>
            <c:idx val="2"/>
            <c:bubble3D val="0"/>
            <c:spPr>
              <a:solidFill>
                <a:srgbClr val="89A54E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48-4B56-8110-1F02ACC80595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48-4B56-8110-1F02ACC80595}"/>
              </c:ext>
            </c:extLst>
          </c:dPt>
          <c:dPt>
            <c:idx val="4"/>
            <c:bubble3D val="0"/>
            <c:spPr>
              <a:solidFill>
                <a:srgbClr val="4198A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A48-4B56-8110-1F02ACC80595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A48-4B56-8110-1F02ACC80595}"/>
              </c:ext>
            </c:extLst>
          </c:dPt>
          <c:dPt>
            <c:idx val="6"/>
            <c:bubble3D val="0"/>
            <c:spPr>
              <a:solidFill>
                <a:srgbClr val="93A9C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A48-4B56-8110-1F02ACC80595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48-4B56-8110-1F02ACC80595}"/>
              </c:ext>
            </c:extLst>
          </c:dPt>
          <c:dLbls>
            <c:dLbl>
              <c:idx val="1"/>
              <c:layout>
                <c:manualLayout>
                  <c:x val="-0.0385038176733469"/>
                  <c:y val="-0.002179775153618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A48-4B56-8110-1F02ACC8059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323322209862812"/>
                  <c:y val="0.002299573437117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A48-4B56-8110-1F02ACC8059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40883078411707"/>
                  <c:y val="0.00598648642386295"/>
                </c:manualLayout>
              </c:layout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Financial 17%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A48-4B56-8110-1F02ACC8059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0225526025467325"/>
                  <c:y val="-0.001535625850348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A48-4B56-8110-1F02ACC8059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0152663063946817"/>
                  <c:y val="-0.05775944946325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A48-4B56-8110-1F02ACC80595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('V.P. of PM'!$D$5,'V.P. of PM'!$D$6,'V.P. of PM'!$D$7,'V.P. of PM'!$D$8,'V.P. of PM'!$D$9,'V.P. of PM'!$D$10,'V.P. of PM'!$D$11,'V.P. of PM'!$D$12,'V.P. of PM'!$D$13,'V.P. of PM'!$D$14,'V.P. of PM'!$D$15,'V.P. of PM'!$D$16)</c:f>
              <c:strCache>
                <c:ptCount val="12"/>
                <c:pt idx="0">
                  <c:v>Cash</c:v>
                </c:pt>
                <c:pt idx="1">
                  <c:v>Bond</c:v>
                </c:pt>
                <c:pt idx="2">
                  <c:v>Consumer Discretionary</c:v>
                </c:pt>
                <c:pt idx="3">
                  <c:v>Consumer Staples</c:v>
                </c:pt>
                <c:pt idx="4">
                  <c:v>Energy</c:v>
                </c:pt>
                <c:pt idx="5">
                  <c:v>Financial</c:v>
                </c:pt>
                <c:pt idx="6">
                  <c:v>Healthcare</c:v>
                </c:pt>
                <c:pt idx="7">
                  <c:v>Industrials</c:v>
                </c:pt>
                <c:pt idx="8">
                  <c:v>Information Technology</c:v>
                </c:pt>
                <c:pt idx="9">
                  <c:v>Materials</c:v>
                </c:pt>
                <c:pt idx="10">
                  <c:v>Telecommunications</c:v>
                </c:pt>
                <c:pt idx="11">
                  <c:v>Utilities</c:v>
                </c:pt>
              </c:strCache>
            </c:strRef>
          </c:cat>
          <c:val>
            <c:numRef>
              <c:f>'V.P. of PM'!$F$9:$F$16</c:f>
              <c:numCache>
                <c:formatCode>0.0%</c:formatCode>
                <c:ptCount val="8"/>
                <c:pt idx="0">
                  <c:v>0.0</c:v>
                </c:pt>
                <c:pt idx="1">
                  <c:v>0.426628192865123</c:v>
                </c:pt>
                <c:pt idx="2">
                  <c:v>0.0</c:v>
                </c:pt>
                <c:pt idx="3">
                  <c:v>0.0</c:v>
                </c:pt>
                <c:pt idx="4">
                  <c:v>0.134840480366841</c:v>
                </c:pt>
                <c:pt idx="5">
                  <c:v>0.0</c:v>
                </c:pt>
                <c:pt idx="6">
                  <c:v>0.0</c:v>
                </c:pt>
                <c:pt idx="7">
                  <c:v>0.0453312300194882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A48-4B56-8110-1F02ACC80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DBEEF4"/>
    </a:solidFill>
    <a:ln w="3175">
      <a:solidFill>
        <a:srgbClr val="808080"/>
      </a:solidFill>
      <a:prstDash val="solid"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 Allocation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Portfolio</c:v>
          </c:tx>
          <c:invertIfNegative val="0"/>
          <c:cat>
            <c:strRef>
              <c:f>('V.P. of PM'!$D$9:$D$15,'V.P. of PM'!$D$16)</c:f>
              <c:strCache>
                <c:ptCount val="8"/>
                <c:pt idx="0">
                  <c:v>Energy</c:v>
                </c:pt>
                <c:pt idx="1">
                  <c:v>Financial</c:v>
                </c:pt>
                <c:pt idx="2">
                  <c:v>Healthcare</c:v>
                </c:pt>
                <c:pt idx="3">
                  <c:v>Industrials</c:v>
                </c:pt>
                <c:pt idx="4">
                  <c:v>Information Technology</c:v>
                </c:pt>
                <c:pt idx="5">
                  <c:v>Materials</c:v>
                </c:pt>
                <c:pt idx="6">
                  <c:v>Telecommunications</c:v>
                </c:pt>
                <c:pt idx="7">
                  <c:v>Utilities</c:v>
                </c:pt>
              </c:strCache>
            </c:strRef>
          </c:cat>
          <c:val>
            <c:numRef>
              <c:f>('V.P. of PM'!$F$5:$F$15,'V.P. of PM'!$F$16)</c:f>
              <c:numCache>
                <c:formatCode>0.0%</c:formatCode>
                <c:ptCount val="12"/>
                <c:pt idx="0">
                  <c:v>0.13472456044613</c:v>
                </c:pt>
                <c:pt idx="1">
                  <c:v>0.0</c:v>
                </c:pt>
                <c:pt idx="2">
                  <c:v>0.258475536302417</c:v>
                </c:pt>
                <c:pt idx="3">
                  <c:v>0.0</c:v>
                </c:pt>
                <c:pt idx="4">
                  <c:v>0.0</c:v>
                </c:pt>
                <c:pt idx="5">
                  <c:v>0.426628192865123</c:v>
                </c:pt>
                <c:pt idx="6">
                  <c:v>0.0</c:v>
                </c:pt>
                <c:pt idx="7">
                  <c:v>0.0</c:v>
                </c:pt>
                <c:pt idx="8">
                  <c:v>0.134840480366841</c:v>
                </c:pt>
                <c:pt idx="9">
                  <c:v>0.0</c:v>
                </c:pt>
                <c:pt idx="10">
                  <c:v>0.0</c:v>
                </c:pt>
                <c:pt idx="11">
                  <c:v>0.0453312300194882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A4-4A91-8EFF-5165C4F67B3C}"/>
            </c:ext>
          </c:extLst>
        </c:ser>
        <c:ser>
          <c:idx val="1"/>
          <c:order val="1"/>
          <c:tx>
            <c:v>Target</c:v>
          </c:tx>
          <c:invertIfNegative val="0"/>
          <c:cat>
            <c:strRef>
              <c:f>('V.P. of PM'!$D$9:$D$15,'V.P. of PM'!$D$16)</c:f>
              <c:strCache>
                <c:ptCount val="8"/>
                <c:pt idx="0">
                  <c:v>Energy</c:v>
                </c:pt>
                <c:pt idx="1">
                  <c:v>Financial</c:v>
                </c:pt>
                <c:pt idx="2">
                  <c:v>Healthcare</c:v>
                </c:pt>
                <c:pt idx="3">
                  <c:v>Industrials</c:v>
                </c:pt>
                <c:pt idx="4">
                  <c:v>Information Technology</c:v>
                </c:pt>
                <c:pt idx="5">
                  <c:v>Materials</c:v>
                </c:pt>
                <c:pt idx="6">
                  <c:v>Telecommunications</c:v>
                </c:pt>
                <c:pt idx="7">
                  <c:v>Utilities</c:v>
                </c:pt>
              </c:strCache>
            </c:strRef>
          </c:cat>
          <c:val>
            <c:numRef>
              <c:f>'Sector Weights'!$E$5:$E$14</c:f>
              <c:numCache>
                <c:formatCode>0.00%</c:formatCode>
                <c:ptCount val="10"/>
                <c:pt idx="0">
                  <c:v>0.101</c:v>
                </c:pt>
                <c:pt idx="1">
                  <c:v>0.115</c:v>
                </c:pt>
                <c:pt idx="2">
                  <c:v>0.037</c:v>
                </c:pt>
                <c:pt idx="3">
                  <c:v>0.163</c:v>
                </c:pt>
                <c:pt idx="4">
                  <c:v>0.121</c:v>
                </c:pt>
                <c:pt idx="5">
                  <c:v>0.103</c:v>
                </c:pt>
                <c:pt idx="6">
                  <c:v>0.188</c:v>
                </c:pt>
                <c:pt idx="7">
                  <c:v>0.034</c:v>
                </c:pt>
                <c:pt idx="8">
                  <c:v>0.03</c:v>
                </c:pt>
                <c:pt idx="9">
                  <c:v>0.037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A4-4A91-8EFF-5165C4F67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727067616"/>
        <c:axId val="-1727064864"/>
      </c:barChart>
      <c:catAx>
        <c:axId val="-1727067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-1727064864"/>
        <c:crosses val="autoZero"/>
        <c:auto val="1"/>
        <c:lblAlgn val="ctr"/>
        <c:lblOffset val="100"/>
        <c:noMultiLvlLbl val="0"/>
      </c:catAx>
      <c:valAx>
        <c:axId val="-1727064864"/>
        <c:scaling>
          <c:orientation val="minMax"/>
        </c:scaling>
        <c:delete val="0"/>
        <c:axPos val="b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crossAx val="-172706761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b"/>
      <c:overlay val="0"/>
      <c:txPr>
        <a:bodyPr/>
        <a:lstStyle/>
        <a:p>
          <a:pPr>
            <a:defRPr sz="1600" b="1" i="0"/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  <c:printSettings>
    <c:headerFooter/>
    <c:pageMargins b="1.0" l="0.750000000000015" r="0.75000000000001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'2016 Performance'!$E$6:$E$54</c:f>
              <c:numCache>
                <c:formatCode>0.00%</c:formatCode>
                <c:ptCount val="49"/>
                <c:pt idx="0">
                  <c:v>-0.0385302729662871</c:v>
                </c:pt>
                <c:pt idx="1">
                  <c:v>-0.0259409012222406</c:v>
                </c:pt>
                <c:pt idx="2">
                  <c:v>-0.017176445455345</c:v>
                </c:pt>
                <c:pt idx="3">
                  <c:v>0.000269945780694725</c:v>
                </c:pt>
                <c:pt idx="4">
                  <c:v>0.00226626088259785</c:v>
                </c:pt>
                <c:pt idx="5">
                  <c:v>-0.0113440615704139</c:v>
                </c:pt>
                <c:pt idx="6">
                  <c:v>0.0513275744066708</c:v>
                </c:pt>
                <c:pt idx="7">
                  <c:v>0.0174619803320204</c:v>
                </c:pt>
                <c:pt idx="8">
                  <c:v>0.0157797483731326</c:v>
                </c:pt>
                <c:pt idx="9">
                  <c:v>-0.00441104663220759</c:v>
                </c:pt>
                <c:pt idx="10">
                  <c:v>0.0187908100474405</c:v>
                </c:pt>
                <c:pt idx="11">
                  <c:v>-0.0125150788681004</c:v>
                </c:pt>
                <c:pt idx="12">
                  <c:v>0.00743650666304507</c:v>
                </c:pt>
                <c:pt idx="13">
                  <c:v>-0.0118754957143676</c:v>
                </c:pt>
                <c:pt idx="14">
                  <c:v>0.00629387482261268</c:v>
                </c:pt>
                <c:pt idx="15">
                  <c:v>-1.98547693935902E-5</c:v>
                </c:pt>
                <c:pt idx="16">
                  <c:v>-0.00204119353202858</c:v>
                </c:pt>
                <c:pt idx="17">
                  <c:v>-0.0127723892908624</c:v>
                </c:pt>
                <c:pt idx="18">
                  <c:v>-0.000445047517671493</c:v>
                </c:pt>
                <c:pt idx="19">
                  <c:v>-0.00794934166490957</c:v>
                </c:pt>
                <c:pt idx="20">
                  <c:v>0.0137363722030914</c:v>
                </c:pt>
                <c:pt idx="21">
                  <c:v>-0.00312804677210965</c:v>
                </c:pt>
                <c:pt idx="22">
                  <c:v>-0.00443288147040166</c:v>
                </c:pt>
                <c:pt idx="23">
                  <c:v>-0.010735584016357</c:v>
                </c:pt>
                <c:pt idx="24">
                  <c:v>0.0124736592276604</c:v>
                </c:pt>
                <c:pt idx="25">
                  <c:v>0.00183984479240484</c:v>
                </c:pt>
                <c:pt idx="26">
                  <c:v>-0.00234056195543342</c:v>
                </c:pt>
                <c:pt idx="27">
                  <c:v>0.0208189128565013</c:v>
                </c:pt>
                <c:pt idx="28">
                  <c:v>-0.00120540581849171</c:v>
                </c:pt>
                <c:pt idx="29">
                  <c:v>0.00385940700804088</c:v>
                </c:pt>
                <c:pt idx="30">
                  <c:v>-0.00165094557450096</c:v>
                </c:pt>
                <c:pt idx="31">
                  <c:v>0.00742771820965404</c:v>
                </c:pt>
                <c:pt idx="32">
                  <c:v>-0.00152069835976565</c:v>
                </c:pt>
                <c:pt idx="33">
                  <c:v>0.00111222524563703</c:v>
                </c:pt>
                <c:pt idx="34">
                  <c:v>0.0126470464409125</c:v>
                </c:pt>
                <c:pt idx="35">
                  <c:v>0.000651201168578197</c:v>
                </c:pt>
                <c:pt idx="36">
                  <c:v>-0.00889774899404316</c:v>
                </c:pt>
                <c:pt idx="37">
                  <c:v>0.0118221436588393</c:v>
                </c:pt>
                <c:pt idx="38">
                  <c:v>-0.00740549506689436</c:v>
                </c:pt>
                <c:pt idx="39">
                  <c:v>0.00578467784196679</c:v>
                </c:pt>
                <c:pt idx="40">
                  <c:v>-0.0184119415580802</c:v>
                </c:pt>
                <c:pt idx="41">
                  <c:v>-0.0128358260033448</c:v>
                </c:pt>
                <c:pt idx="42">
                  <c:v>0.0263041211216224</c:v>
                </c:pt>
                <c:pt idx="43">
                  <c:v>0.00558465538542041</c:v>
                </c:pt>
                <c:pt idx="44">
                  <c:v>-0.00378806168503498</c:v>
                </c:pt>
                <c:pt idx="45">
                  <c:v>-0.00346451530023151</c:v>
                </c:pt>
                <c:pt idx="46">
                  <c:v>0.00412254867451556</c:v>
                </c:pt>
                <c:pt idx="47">
                  <c:v>0.00661468381500452</c:v>
                </c:pt>
                <c:pt idx="48">
                  <c:v>-0.00156271838910416</c:v>
                </c:pt>
              </c:numCache>
            </c:numRef>
          </c:val>
          <c:smooth val="0"/>
        </c:ser>
        <c:ser>
          <c:idx val="1"/>
          <c:order val="1"/>
          <c:tx>
            <c:v>S&amp;P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'2016 Performance'!$F$6:$F$54</c:f>
              <c:numCache>
                <c:formatCode>0.00%</c:formatCode>
                <c:ptCount val="49"/>
                <c:pt idx="0">
                  <c:v>-0.0493409786980049</c:v>
                </c:pt>
                <c:pt idx="1">
                  <c:v>-0.0109361892655513</c:v>
                </c:pt>
                <c:pt idx="2">
                  <c:v>-0.0274996877991924</c:v>
                </c:pt>
                <c:pt idx="3">
                  <c:v>0.0130391280852224</c:v>
                </c:pt>
                <c:pt idx="4">
                  <c:v>0.011667089195927</c:v>
                </c:pt>
                <c:pt idx="5">
                  <c:v>-0.0453574877966014</c:v>
                </c:pt>
                <c:pt idx="6">
                  <c:v>0.0488141006360161</c:v>
                </c:pt>
                <c:pt idx="7">
                  <c:v>0.0176605851404974</c:v>
                </c:pt>
                <c:pt idx="8">
                  <c:v>0.0213454936721831</c:v>
                </c:pt>
                <c:pt idx="9">
                  <c:v>-0.00874904683549371</c:v>
                </c:pt>
                <c:pt idx="10">
                  <c:v>0.0327290578565933</c:v>
                </c:pt>
                <c:pt idx="11">
                  <c:v>-0.00225915053979486</c:v>
                </c:pt>
                <c:pt idx="12">
                  <c:v>0.011670055697993</c:v>
                </c:pt>
                <c:pt idx="13">
                  <c:v>-0.00865643236524982</c:v>
                </c:pt>
                <c:pt idx="14">
                  <c:v>0.0198980366421635</c:v>
                </c:pt>
                <c:pt idx="15">
                  <c:v>0.00429283471145814</c:v>
                </c:pt>
                <c:pt idx="16">
                  <c:v>-0.00749230210186091</c:v>
                </c:pt>
                <c:pt idx="17">
                  <c:v>-0.0121302045948328</c:v>
                </c:pt>
                <c:pt idx="18">
                  <c:v>0.0065735895797876</c:v>
                </c:pt>
                <c:pt idx="19">
                  <c:v>-0.0116612002267322</c:v>
                </c:pt>
                <c:pt idx="20">
                  <c:v>0.0245387345346169</c:v>
                </c:pt>
                <c:pt idx="21">
                  <c:v>0.00725324147170014</c:v>
                </c:pt>
                <c:pt idx="22">
                  <c:v>0.00485450728176073</c:v>
                </c:pt>
                <c:pt idx="23">
                  <c:v>-0.0177217463648913</c:v>
                </c:pt>
                <c:pt idx="24">
                  <c:v>0.0170020067469045</c:v>
                </c:pt>
                <c:pt idx="25">
                  <c:v>-0.00684231446255179</c:v>
                </c:pt>
                <c:pt idx="26">
                  <c:v>-0.000457391155198605</c:v>
                </c:pt>
                <c:pt idx="27">
                  <c:v>0.0313885313885314</c:v>
                </c:pt>
                <c:pt idx="28">
                  <c:v>0.000656268053148556</c:v>
                </c:pt>
                <c:pt idx="29">
                  <c:v>0.00225848316760335</c:v>
                </c:pt>
                <c:pt idx="30">
                  <c:v>-0.00262204731666404</c:v>
                </c:pt>
                <c:pt idx="31">
                  <c:v>0.00988278344275706</c:v>
                </c:pt>
                <c:pt idx="32">
                  <c:v>0.000576458531586166</c:v>
                </c:pt>
                <c:pt idx="33">
                  <c:v>-0.00665288840522726</c:v>
                </c:pt>
                <c:pt idx="34">
                  <c:v>0.0064488807670533</c:v>
                </c:pt>
                <c:pt idx="35">
                  <c:v>-0.00236910467966767</c:v>
                </c:pt>
                <c:pt idx="36">
                  <c:v>-0.0156053729427406</c:v>
                </c:pt>
                <c:pt idx="37">
                  <c:v>0.0139340368655867</c:v>
                </c:pt>
                <c:pt idx="38">
                  <c:v>-0.0119650189694925</c:v>
                </c:pt>
                <c:pt idx="39">
                  <c:v>0.00448136560784329</c:v>
                </c:pt>
                <c:pt idx="40">
                  <c:v>0.0203399713990846</c:v>
                </c:pt>
                <c:pt idx="41">
                  <c:v>-0.00618672665916753</c:v>
                </c:pt>
                <c:pt idx="42">
                  <c:v>0.0251519798455557</c:v>
                </c:pt>
                <c:pt idx="43">
                  <c:v>0.00705194128724651</c:v>
                </c:pt>
                <c:pt idx="44">
                  <c:v>-0.000473026440851898</c:v>
                </c:pt>
                <c:pt idx="45">
                  <c:v>-0.00517479300827961</c:v>
                </c:pt>
                <c:pt idx="46">
                  <c:v>0.00877621973449027</c:v>
                </c:pt>
                <c:pt idx="47">
                  <c:v>0.000634640810929898</c:v>
                </c:pt>
                <c:pt idx="48">
                  <c:v>-0.00297299201916812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7037232"/>
        <c:axId val="-1727034480"/>
      </c:lineChart>
      <c:dateAx>
        <c:axId val="-1727037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7034480"/>
        <c:crosses val="autoZero"/>
        <c:auto val="0"/>
        <c:lblOffset val="100"/>
        <c:baseTimeUnit val="days"/>
      </c:dateAx>
      <c:valAx>
        <c:axId val="-172703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703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IPO</a:t>
            </a:r>
            <a:r>
              <a:rPr lang="en-US" baseline="0"/>
              <a:t> Performance - 2016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'2016 Performance'!$C$5:$C$54</c:f>
              <c:numCache>
                <c:formatCode>#,##0.00_);[Red]\(#,##0.00\)</c:formatCode>
                <c:ptCount val="50"/>
                <c:pt idx="0">
                  <c:v>67976.16</c:v>
                </c:pt>
                <c:pt idx="1">
                  <c:v>65357.02</c:v>
                </c:pt>
                <c:pt idx="2">
                  <c:v>63661.6</c:v>
                </c:pt>
                <c:pt idx="3">
                  <c:v>62568.12</c:v>
                </c:pt>
                <c:pt idx="4">
                  <c:v>62585.01</c:v>
                </c:pt>
                <c:pt idx="5">
                  <c:v>62726.84396</c:v>
                </c:pt>
                <c:pt idx="6">
                  <c:v>62015.26678000001</c:v>
                </c:pt>
                <c:pt idx="7">
                  <c:v>65198.36</c:v>
                </c:pt>
                <c:pt idx="8">
                  <c:v>66336.85247999999</c:v>
                </c:pt>
                <c:pt idx="9">
                  <c:v>67383.63132</c:v>
                </c:pt>
                <c:pt idx="10">
                  <c:v>67086.39898</c:v>
                </c:pt>
                <c:pt idx="11">
                  <c:v>68347.00675999999</c:v>
                </c:pt>
                <c:pt idx="12">
                  <c:v>67491.63858</c:v>
                </c:pt>
                <c:pt idx="13">
                  <c:v>67993.54059999999</c:v>
                </c:pt>
                <c:pt idx="14">
                  <c:v>67186.08360000001</c:v>
                </c:pt>
                <c:pt idx="15">
                  <c:v>67608.94440000001</c:v>
                </c:pt>
                <c:pt idx="16">
                  <c:v>67607.60204</c:v>
                </c:pt>
                <c:pt idx="17">
                  <c:v>67469.60183999999</c:v>
                </c:pt>
                <c:pt idx="18">
                  <c:v>66607.85382000001</c:v>
                </c:pt>
                <c:pt idx="19">
                  <c:v>66578.21016</c:v>
                </c:pt>
                <c:pt idx="20">
                  <c:v>66048.95722000001</c:v>
                </c:pt>
                <c:pt idx="21">
                  <c:v>66956.23027999999</c:v>
                </c:pt>
                <c:pt idx="22">
                  <c:v>66746.78806</c:v>
                </c:pt>
                <c:pt idx="23">
                  <c:v>66450.90746</c:v>
                </c:pt>
                <c:pt idx="24">
                  <c:v>65737.51816</c:v>
                </c:pt>
                <c:pt idx="25">
                  <c:v>66557.50556</c:v>
                </c:pt>
                <c:pt idx="26">
                  <c:v>66679.96104000001</c:v>
                </c:pt>
                <c:pt idx="27">
                  <c:v>66523.89246</c:v>
                </c:pt>
                <c:pt idx="28">
                  <c:v>67908.84758</c:v>
                </c:pt>
                <c:pt idx="29">
                  <c:v>67826.98986</c:v>
                </c:pt>
                <c:pt idx="30">
                  <c:v>68088.76182</c:v>
                </c:pt>
                <c:pt idx="31">
                  <c:v>67976.35098000001</c:v>
                </c:pt>
                <c:pt idx="32">
                  <c:v>68481.26016</c:v>
                </c:pt>
                <c:pt idx="33">
                  <c:v>68377.12082</c:v>
                </c:pt>
                <c:pt idx="34">
                  <c:v>68453.17158</c:v>
                </c:pt>
                <c:pt idx="35">
                  <c:v>69318.90202000001</c:v>
                </c:pt>
                <c:pt idx="36">
                  <c:v>69364.04256999999</c:v>
                </c:pt>
                <c:pt idx="37">
                  <c:v>68746.85873</c:v>
                </c:pt>
                <c:pt idx="38">
                  <c:v>69559.59397</c:v>
                </c:pt>
                <c:pt idx="39">
                  <c:v>69044.47073999999</c:v>
                </c:pt>
                <c:pt idx="40">
                  <c:v>69443.87076</c:v>
                </c:pt>
                <c:pt idx="41">
                  <c:v>68165.27427</c:v>
                </c:pt>
                <c:pt idx="42">
                  <c:v>67290.31667</c:v>
                </c:pt>
                <c:pt idx="43">
                  <c:v>69060.32931</c:v>
                </c:pt>
                <c:pt idx="44">
                  <c:v>69446.00745</c:v>
                </c:pt>
                <c:pt idx="45">
                  <c:v>69182.94169000001</c:v>
                </c:pt>
                <c:pt idx="46">
                  <c:v>68943.25632999997</c:v>
                </c:pt>
                <c:pt idx="47">
                  <c:v>69227.47826</c:v>
                </c:pt>
                <c:pt idx="48">
                  <c:v>69685.39614</c:v>
                </c:pt>
                <c:pt idx="49">
                  <c:v>69576.49749000001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6928176"/>
        <c:axId val="-1766926400"/>
      </c:lineChart>
      <c:catAx>
        <c:axId val="-1766928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66926400"/>
        <c:crosses val="autoZero"/>
        <c:auto val="1"/>
        <c:lblAlgn val="ctr"/>
        <c:lblOffset val="100"/>
        <c:noMultiLvlLbl val="0"/>
      </c:catAx>
      <c:valAx>
        <c:axId val="-1766926400"/>
        <c:scaling>
          <c:orientation val="minMax"/>
          <c:min val="61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66928176"/>
        <c:crosses val="autoZero"/>
        <c:crossBetween val="between"/>
        <c:majorUnit val="75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500 Performance</a:t>
            </a:r>
            <a:r>
              <a:rPr lang="en-US" baseline="0"/>
              <a:t> - 2016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'2016 Performance'!$D$5:$D$54</c:f>
              <c:numCache>
                <c:formatCode>#,##0.00_);[Red]\(#,##0.00\)</c:formatCode>
                <c:ptCount val="50"/>
                <c:pt idx="0">
                  <c:v>2043.94</c:v>
                </c:pt>
                <c:pt idx="1">
                  <c:v>1943.09</c:v>
                </c:pt>
                <c:pt idx="2">
                  <c:v>1921.84</c:v>
                </c:pt>
                <c:pt idx="3">
                  <c:v>1868.99</c:v>
                </c:pt>
                <c:pt idx="4">
                  <c:v>1893.36</c:v>
                </c:pt>
                <c:pt idx="5">
                  <c:v>1915.45</c:v>
                </c:pt>
                <c:pt idx="6">
                  <c:v>1828.57</c:v>
                </c:pt>
                <c:pt idx="7">
                  <c:v>1917.83</c:v>
                </c:pt>
                <c:pt idx="8">
                  <c:v>1951.7</c:v>
                </c:pt>
                <c:pt idx="9">
                  <c:v>1993.36</c:v>
                </c:pt>
                <c:pt idx="10">
                  <c:v>1975.92</c:v>
                </c:pt>
                <c:pt idx="11">
                  <c:v>2040.59</c:v>
                </c:pt>
                <c:pt idx="12">
                  <c:v>2035.98</c:v>
                </c:pt>
                <c:pt idx="13">
                  <c:v>2059.74</c:v>
                </c:pt>
                <c:pt idx="14">
                  <c:v>2041.91</c:v>
                </c:pt>
                <c:pt idx="15">
                  <c:v>2082.54</c:v>
                </c:pt>
                <c:pt idx="16">
                  <c:v>2091.48</c:v>
                </c:pt>
                <c:pt idx="17">
                  <c:v>2075.81</c:v>
                </c:pt>
                <c:pt idx="18">
                  <c:v>2050.63</c:v>
                </c:pt>
                <c:pt idx="19">
                  <c:v>2064.11</c:v>
                </c:pt>
                <c:pt idx="20">
                  <c:v>2040.04</c:v>
                </c:pt>
                <c:pt idx="21">
                  <c:v>2090.1</c:v>
                </c:pt>
                <c:pt idx="22">
                  <c:v>2105.26</c:v>
                </c:pt>
                <c:pt idx="23">
                  <c:v>2115.48</c:v>
                </c:pt>
                <c:pt idx="24">
                  <c:v>2077.99</c:v>
                </c:pt>
                <c:pt idx="25">
                  <c:v>2113.32</c:v>
                </c:pt>
                <c:pt idx="26">
                  <c:v>2098.86</c:v>
                </c:pt>
                <c:pt idx="27">
                  <c:v>2097.9</c:v>
                </c:pt>
                <c:pt idx="28">
                  <c:v>2163.75</c:v>
                </c:pt>
                <c:pt idx="29">
                  <c:v>2165.17</c:v>
                </c:pt>
                <c:pt idx="30">
                  <c:v>2170.06</c:v>
                </c:pt>
                <c:pt idx="31">
                  <c:v>2164.37</c:v>
                </c:pt>
                <c:pt idx="32">
                  <c:v>2185.76</c:v>
                </c:pt>
                <c:pt idx="33">
                  <c:v>2187.02</c:v>
                </c:pt>
                <c:pt idx="34">
                  <c:v>2172.47</c:v>
                </c:pt>
                <c:pt idx="35">
                  <c:v>2186.48</c:v>
                </c:pt>
                <c:pt idx="36">
                  <c:v>2181.3</c:v>
                </c:pt>
                <c:pt idx="37">
                  <c:v>2147.26</c:v>
                </c:pt>
                <c:pt idx="38">
                  <c:v>2177.18</c:v>
                </c:pt>
                <c:pt idx="39">
                  <c:v>2151.13</c:v>
                </c:pt>
                <c:pt idx="40">
                  <c:v>2160.77</c:v>
                </c:pt>
                <c:pt idx="41">
                  <c:v>2204.72</c:v>
                </c:pt>
                <c:pt idx="42">
                  <c:v>2191.08</c:v>
                </c:pt>
                <c:pt idx="43">
                  <c:v>2246.19</c:v>
                </c:pt>
                <c:pt idx="44">
                  <c:v>2262.03</c:v>
                </c:pt>
                <c:pt idx="45">
                  <c:v>2260.96</c:v>
                </c:pt>
                <c:pt idx="46">
                  <c:v>2249.26</c:v>
                </c:pt>
                <c:pt idx="47">
                  <c:v>2269.0</c:v>
                </c:pt>
                <c:pt idx="48">
                  <c:v>2270.44</c:v>
                </c:pt>
                <c:pt idx="49">
                  <c:v>2263.69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66910128"/>
        <c:axId val="-1766907808"/>
      </c:lineChart>
      <c:catAx>
        <c:axId val="-1766910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66907808"/>
        <c:crosses val="autoZero"/>
        <c:auto val="1"/>
        <c:lblAlgn val="ctr"/>
        <c:lblOffset val="100"/>
        <c:noMultiLvlLbl val="0"/>
      </c:catAx>
      <c:valAx>
        <c:axId val="-1766907808"/>
        <c:scaling>
          <c:orientation val="minMax"/>
          <c:min val="16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66910128"/>
        <c:crosses val="autoZero"/>
        <c:crossBetween val="between"/>
        <c:majorUnit val="5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IPO vs</a:t>
            </a:r>
            <a:r>
              <a:rPr lang="en-US" baseline="0"/>
              <a:t> S&amp;P 500 since 2010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494886129222932"/>
          <c:y val="0.085079343451727"/>
          <c:w val="0.870749042203491"/>
          <c:h val="0.812760740646214"/>
        </c:manualLayout>
      </c:layout>
      <c:lineChart>
        <c:grouping val="stacked"/>
        <c:varyColors val="0"/>
        <c:ser>
          <c:idx val="0"/>
          <c:order val="0"/>
          <c:tx>
            <c:v>S&amp;P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Data!$B$339:$B$721</c:f>
              <c:numCache>
                <c:formatCode>m/d/yy</c:formatCode>
                <c:ptCount val="383"/>
                <c:pt idx="0">
                  <c:v>40185.0</c:v>
                </c:pt>
                <c:pt idx="1">
                  <c:v>40192.0</c:v>
                </c:pt>
                <c:pt idx="2">
                  <c:v>40199.0</c:v>
                </c:pt>
                <c:pt idx="3">
                  <c:v>40206.0</c:v>
                </c:pt>
                <c:pt idx="4">
                  <c:v>40213.0</c:v>
                </c:pt>
                <c:pt idx="5">
                  <c:v>40220.0</c:v>
                </c:pt>
                <c:pt idx="6">
                  <c:v>40227.0</c:v>
                </c:pt>
                <c:pt idx="7">
                  <c:v>40234.0</c:v>
                </c:pt>
                <c:pt idx="8">
                  <c:v>40241.0</c:v>
                </c:pt>
                <c:pt idx="9">
                  <c:v>40248.0</c:v>
                </c:pt>
                <c:pt idx="10">
                  <c:v>40255.0</c:v>
                </c:pt>
                <c:pt idx="11">
                  <c:v>40262.0</c:v>
                </c:pt>
                <c:pt idx="12">
                  <c:v>40269.0</c:v>
                </c:pt>
                <c:pt idx="13">
                  <c:v>40276.0</c:v>
                </c:pt>
                <c:pt idx="14">
                  <c:v>40283.0</c:v>
                </c:pt>
                <c:pt idx="15">
                  <c:v>40290.0</c:v>
                </c:pt>
                <c:pt idx="16">
                  <c:v>40297.0</c:v>
                </c:pt>
                <c:pt idx="17">
                  <c:v>40304.0</c:v>
                </c:pt>
                <c:pt idx="18">
                  <c:v>40311.0</c:v>
                </c:pt>
                <c:pt idx="19">
                  <c:v>40318.0</c:v>
                </c:pt>
                <c:pt idx="20">
                  <c:v>40325.0</c:v>
                </c:pt>
                <c:pt idx="21">
                  <c:v>40332.0</c:v>
                </c:pt>
                <c:pt idx="22">
                  <c:v>40339.0</c:v>
                </c:pt>
                <c:pt idx="23">
                  <c:v>40346.0</c:v>
                </c:pt>
                <c:pt idx="24">
                  <c:v>40353.0</c:v>
                </c:pt>
                <c:pt idx="25">
                  <c:v>40360.0</c:v>
                </c:pt>
                <c:pt idx="26">
                  <c:v>40367.0</c:v>
                </c:pt>
                <c:pt idx="27">
                  <c:v>40374.0</c:v>
                </c:pt>
                <c:pt idx="28">
                  <c:v>40381.0</c:v>
                </c:pt>
                <c:pt idx="29">
                  <c:v>40388.0</c:v>
                </c:pt>
                <c:pt idx="30">
                  <c:v>40395.0</c:v>
                </c:pt>
                <c:pt idx="31">
                  <c:v>40402.0</c:v>
                </c:pt>
                <c:pt idx="32">
                  <c:v>40409.0</c:v>
                </c:pt>
                <c:pt idx="33">
                  <c:v>40416.0</c:v>
                </c:pt>
                <c:pt idx="34">
                  <c:v>40423.0</c:v>
                </c:pt>
                <c:pt idx="35">
                  <c:v>40430.0</c:v>
                </c:pt>
                <c:pt idx="36">
                  <c:v>40437.0</c:v>
                </c:pt>
                <c:pt idx="37">
                  <c:v>40444.0</c:v>
                </c:pt>
                <c:pt idx="38">
                  <c:v>40451.0</c:v>
                </c:pt>
                <c:pt idx="39">
                  <c:v>40458.0</c:v>
                </c:pt>
                <c:pt idx="40">
                  <c:v>40465.0</c:v>
                </c:pt>
                <c:pt idx="41">
                  <c:v>40472.0</c:v>
                </c:pt>
                <c:pt idx="42">
                  <c:v>40479.0</c:v>
                </c:pt>
                <c:pt idx="43">
                  <c:v>40486.0</c:v>
                </c:pt>
                <c:pt idx="44">
                  <c:v>40493.0</c:v>
                </c:pt>
                <c:pt idx="45">
                  <c:v>40500.0</c:v>
                </c:pt>
                <c:pt idx="46">
                  <c:v>40507.0</c:v>
                </c:pt>
                <c:pt idx="47">
                  <c:v>40514.0</c:v>
                </c:pt>
                <c:pt idx="48">
                  <c:v>40521.0</c:v>
                </c:pt>
                <c:pt idx="49">
                  <c:v>40528.0</c:v>
                </c:pt>
                <c:pt idx="50">
                  <c:v>40535.0</c:v>
                </c:pt>
                <c:pt idx="51">
                  <c:v>40542.0</c:v>
                </c:pt>
                <c:pt idx="52">
                  <c:v>40549.0</c:v>
                </c:pt>
                <c:pt idx="53">
                  <c:v>40556.0</c:v>
                </c:pt>
                <c:pt idx="54">
                  <c:v>40563.0</c:v>
                </c:pt>
                <c:pt idx="55">
                  <c:v>40570.0</c:v>
                </c:pt>
                <c:pt idx="56">
                  <c:v>40577.0</c:v>
                </c:pt>
                <c:pt idx="57">
                  <c:v>40584.0</c:v>
                </c:pt>
                <c:pt idx="58">
                  <c:v>40591.0</c:v>
                </c:pt>
                <c:pt idx="59">
                  <c:v>40598.0</c:v>
                </c:pt>
                <c:pt idx="60">
                  <c:v>40605.0</c:v>
                </c:pt>
                <c:pt idx="61">
                  <c:v>40612.0</c:v>
                </c:pt>
                <c:pt idx="62">
                  <c:v>40619.0</c:v>
                </c:pt>
                <c:pt idx="63">
                  <c:v>40626.0</c:v>
                </c:pt>
                <c:pt idx="64">
                  <c:v>40633.0</c:v>
                </c:pt>
                <c:pt idx="65">
                  <c:v>40640.0</c:v>
                </c:pt>
                <c:pt idx="66">
                  <c:v>40647.0</c:v>
                </c:pt>
                <c:pt idx="67">
                  <c:v>40654.0</c:v>
                </c:pt>
                <c:pt idx="68">
                  <c:v>40661.0</c:v>
                </c:pt>
                <c:pt idx="69">
                  <c:v>40668.0</c:v>
                </c:pt>
                <c:pt idx="70">
                  <c:v>40675.0</c:v>
                </c:pt>
                <c:pt idx="71">
                  <c:v>40682.0</c:v>
                </c:pt>
                <c:pt idx="72">
                  <c:v>40689.0</c:v>
                </c:pt>
                <c:pt idx="73">
                  <c:v>40696.0</c:v>
                </c:pt>
                <c:pt idx="74">
                  <c:v>40703.0</c:v>
                </c:pt>
                <c:pt idx="75">
                  <c:v>40710.0</c:v>
                </c:pt>
                <c:pt idx="76">
                  <c:v>40717.0</c:v>
                </c:pt>
                <c:pt idx="77">
                  <c:v>40724.0</c:v>
                </c:pt>
                <c:pt idx="78">
                  <c:v>40731.0</c:v>
                </c:pt>
                <c:pt idx="79">
                  <c:v>40738.0</c:v>
                </c:pt>
                <c:pt idx="80">
                  <c:v>40745.0</c:v>
                </c:pt>
                <c:pt idx="81">
                  <c:v>40752.0</c:v>
                </c:pt>
                <c:pt idx="82">
                  <c:v>40759.0</c:v>
                </c:pt>
                <c:pt idx="83">
                  <c:v>40766.0</c:v>
                </c:pt>
                <c:pt idx="84">
                  <c:v>40773.0</c:v>
                </c:pt>
                <c:pt idx="85">
                  <c:v>40780.0</c:v>
                </c:pt>
                <c:pt idx="86">
                  <c:v>40787.0</c:v>
                </c:pt>
                <c:pt idx="87">
                  <c:v>40794.0</c:v>
                </c:pt>
                <c:pt idx="88">
                  <c:v>40801.0</c:v>
                </c:pt>
                <c:pt idx="89">
                  <c:v>40808.0</c:v>
                </c:pt>
                <c:pt idx="90">
                  <c:v>40815.0</c:v>
                </c:pt>
                <c:pt idx="91">
                  <c:v>40822.0</c:v>
                </c:pt>
                <c:pt idx="92">
                  <c:v>40829.0</c:v>
                </c:pt>
                <c:pt idx="93">
                  <c:v>40836.0</c:v>
                </c:pt>
                <c:pt idx="94">
                  <c:v>40843.0</c:v>
                </c:pt>
                <c:pt idx="95">
                  <c:v>40850.0</c:v>
                </c:pt>
                <c:pt idx="96">
                  <c:v>40857.0</c:v>
                </c:pt>
                <c:pt idx="97">
                  <c:v>40864.0</c:v>
                </c:pt>
                <c:pt idx="98">
                  <c:v>40871.0</c:v>
                </c:pt>
                <c:pt idx="99">
                  <c:v>40878.0</c:v>
                </c:pt>
                <c:pt idx="100">
                  <c:v>40885.0</c:v>
                </c:pt>
                <c:pt idx="101">
                  <c:v>40892.0</c:v>
                </c:pt>
                <c:pt idx="102">
                  <c:v>40899.0</c:v>
                </c:pt>
                <c:pt idx="103">
                  <c:v>40906.0</c:v>
                </c:pt>
                <c:pt idx="104">
                  <c:v>40913.0</c:v>
                </c:pt>
                <c:pt idx="105">
                  <c:v>40920.0</c:v>
                </c:pt>
                <c:pt idx="106">
                  <c:v>40927.0</c:v>
                </c:pt>
                <c:pt idx="107">
                  <c:v>40934.0</c:v>
                </c:pt>
                <c:pt idx="108">
                  <c:v>40941.0</c:v>
                </c:pt>
                <c:pt idx="109">
                  <c:v>40948.0</c:v>
                </c:pt>
                <c:pt idx="110">
                  <c:v>40955.0</c:v>
                </c:pt>
                <c:pt idx="111">
                  <c:v>40962.0</c:v>
                </c:pt>
                <c:pt idx="112">
                  <c:v>40969.0</c:v>
                </c:pt>
                <c:pt idx="113">
                  <c:v>40976.0</c:v>
                </c:pt>
                <c:pt idx="114">
                  <c:v>40983.0</c:v>
                </c:pt>
                <c:pt idx="115">
                  <c:v>40990.0</c:v>
                </c:pt>
                <c:pt idx="116">
                  <c:v>40997.0</c:v>
                </c:pt>
                <c:pt idx="117">
                  <c:v>41004.0</c:v>
                </c:pt>
                <c:pt idx="118">
                  <c:v>41011.0</c:v>
                </c:pt>
                <c:pt idx="119">
                  <c:v>41018.0</c:v>
                </c:pt>
                <c:pt idx="120">
                  <c:v>41025.0</c:v>
                </c:pt>
                <c:pt idx="121">
                  <c:v>41032.0</c:v>
                </c:pt>
                <c:pt idx="122">
                  <c:v>41039.0</c:v>
                </c:pt>
                <c:pt idx="123">
                  <c:v>41046.0</c:v>
                </c:pt>
                <c:pt idx="124">
                  <c:v>41053.0</c:v>
                </c:pt>
                <c:pt idx="125">
                  <c:v>41060.0</c:v>
                </c:pt>
                <c:pt idx="126">
                  <c:v>41067.0</c:v>
                </c:pt>
                <c:pt idx="127">
                  <c:v>41074.0</c:v>
                </c:pt>
                <c:pt idx="128">
                  <c:v>41081.0</c:v>
                </c:pt>
                <c:pt idx="129">
                  <c:v>41088.0</c:v>
                </c:pt>
                <c:pt idx="130">
                  <c:v>41095.0</c:v>
                </c:pt>
                <c:pt idx="131">
                  <c:v>41102.0</c:v>
                </c:pt>
                <c:pt idx="132">
                  <c:v>41109.0</c:v>
                </c:pt>
                <c:pt idx="133">
                  <c:v>41116.0</c:v>
                </c:pt>
                <c:pt idx="134">
                  <c:v>41123.0</c:v>
                </c:pt>
                <c:pt idx="135">
                  <c:v>41130.0</c:v>
                </c:pt>
                <c:pt idx="136">
                  <c:v>41137.0</c:v>
                </c:pt>
                <c:pt idx="137">
                  <c:v>41144.0</c:v>
                </c:pt>
                <c:pt idx="138">
                  <c:v>41151.0</c:v>
                </c:pt>
                <c:pt idx="139">
                  <c:v>41158.0</c:v>
                </c:pt>
                <c:pt idx="140">
                  <c:v>41165.0</c:v>
                </c:pt>
                <c:pt idx="141">
                  <c:v>41172.0</c:v>
                </c:pt>
                <c:pt idx="142">
                  <c:v>41179.0</c:v>
                </c:pt>
                <c:pt idx="143">
                  <c:v>41186.0</c:v>
                </c:pt>
                <c:pt idx="144">
                  <c:v>41193.0</c:v>
                </c:pt>
                <c:pt idx="145">
                  <c:v>41200.0</c:v>
                </c:pt>
                <c:pt idx="146">
                  <c:v>41207.0</c:v>
                </c:pt>
                <c:pt idx="147">
                  <c:v>41214.0</c:v>
                </c:pt>
                <c:pt idx="148">
                  <c:v>41221.0</c:v>
                </c:pt>
                <c:pt idx="149">
                  <c:v>41228.0</c:v>
                </c:pt>
                <c:pt idx="150">
                  <c:v>41235.0</c:v>
                </c:pt>
                <c:pt idx="151">
                  <c:v>41242.0</c:v>
                </c:pt>
                <c:pt idx="152">
                  <c:v>41249.0</c:v>
                </c:pt>
                <c:pt idx="153">
                  <c:v>41256.0</c:v>
                </c:pt>
                <c:pt idx="154">
                  <c:v>41263.0</c:v>
                </c:pt>
                <c:pt idx="155">
                  <c:v>41270.0</c:v>
                </c:pt>
                <c:pt idx="156">
                  <c:v>41277.0</c:v>
                </c:pt>
                <c:pt idx="157">
                  <c:v>41284.0</c:v>
                </c:pt>
                <c:pt idx="158">
                  <c:v>41291.0</c:v>
                </c:pt>
                <c:pt idx="159">
                  <c:v>41298.0</c:v>
                </c:pt>
                <c:pt idx="160">
                  <c:v>41305.0</c:v>
                </c:pt>
                <c:pt idx="161">
                  <c:v>41312.0</c:v>
                </c:pt>
                <c:pt idx="162">
                  <c:v>41319.0</c:v>
                </c:pt>
                <c:pt idx="163">
                  <c:v>41326.0</c:v>
                </c:pt>
                <c:pt idx="164">
                  <c:v>41333.0</c:v>
                </c:pt>
                <c:pt idx="165">
                  <c:v>41340.0</c:v>
                </c:pt>
                <c:pt idx="166">
                  <c:v>41347.0</c:v>
                </c:pt>
                <c:pt idx="167">
                  <c:v>41354.0</c:v>
                </c:pt>
                <c:pt idx="168">
                  <c:v>41361.0</c:v>
                </c:pt>
                <c:pt idx="169">
                  <c:v>41368.0</c:v>
                </c:pt>
                <c:pt idx="170">
                  <c:v>41375.0</c:v>
                </c:pt>
                <c:pt idx="171">
                  <c:v>41382.0</c:v>
                </c:pt>
                <c:pt idx="172">
                  <c:v>41389.0</c:v>
                </c:pt>
                <c:pt idx="173">
                  <c:v>41396.0</c:v>
                </c:pt>
                <c:pt idx="174">
                  <c:v>41403.0</c:v>
                </c:pt>
                <c:pt idx="175">
                  <c:v>41410.0</c:v>
                </c:pt>
                <c:pt idx="176">
                  <c:v>41417.0</c:v>
                </c:pt>
                <c:pt idx="177">
                  <c:v>41424.0</c:v>
                </c:pt>
                <c:pt idx="178">
                  <c:v>41431.0</c:v>
                </c:pt>
                <c:pt idx="179">
                  <c:v>41438.0</c:v>
                </c:pt>
                <c:pt idx="180">
                  <c:v>41445.0</c:v>
                </c:pt>
                <c:pt idx="181">
                  <c:v>41452.0</c:v>
                </c:pt>
                <c:pt idx="182">
                  <c:v>41459.0</c:v>
                </c:pt>
                <c:pt idx="183">
                  <c:v>41466.0</c:v>
                </c:pt>
                <c:pt idx="184">
                  <c:v>41473.0</c:v>
                </c:pt>
                <c:pt idx="185">
                  <c:v>41480.0</c:v>
                </c:pt>
                <c:pt idx="186">
                  <c:v>41487.0</c:v>
                </c:pt>
                <c:pt idx="187">
                  <c:v>41494.0</c:v>
                </c:pt>
                <c:pt idx="188">
                  <c:v>41501.0</c:v>
                </c:pt>
                <c:pt idx="189">
                  <c:v>41508.0</c:v>
                </c:pt>
                <c:pt idx="190">
                  <c:v>41515.0</c:v>
                </c:pt>
                <c:pt idx="191">
                  <c:v>41522.0</c:v>
                </c:pt>
                <c:pt idx="192">
                  <c:v>41529.0</c:v>
                </c:pt>
                <c:pt idx="193">
                  <c:v>41536.0</c:v>
                </c:pt>
                <c:pt idx="194">
                  <c:v>41543.0</c:v>
                </c:pt>
                <c:pt idx="195">
                  <c:v>41550.0</c:v>
                </c:pt>
                <c:pt idx="196">
                  <c:v>41557.0</c:v>
                </c:pt>
                <c:pt idx="197">
                  <c:v>41564.0</c:v>
                </c:pt>
                <c:pt idx="198">
                  <c:v>41571.0</c:v>
                </c:pt>
                <c:pt idx="199">
                  <c:v>41578.0</c:v>
                </c:pt>
                <c:pt idx="200">
                  <c:v>41585.0</c:v>
                </c:pt>
                <c:pt idx="201">
                  <c:v>41592.0</c:v>
                </c:pt>
                <c:pt idx="202">
                  <c:v>41599.0</c:v>
                </c:pt>
                <c:pt idx="203">
                  <c:v>41606.0</c:v>
                </c:pt>
                <c:pt idx="204">
                  <c:v>41613.0</c:v>
                </c:pt>
                <c:pt idx="205">
                  <c:v>41620.0</c:v>
                </c:pt>
                <c:pt idx="206">
                  <c:v>41627.0</c:v>
                </c:pt>
                <c:pt idx="207">
                  <c:v>41634.0</c:v>
                </c:pt>
                <c:pt idx="208">
                  <c:v>41641.0</c:v>
                </c:pt>
                <c:pt idx="209">
                  <c:v>41648.0</c:v>
                </c:pt>
                <c:pt idx="210">
                  <c:v>41655.0</c:v>
                </c:pt>
                <c:pt idx="211">
                  <c:v>41662.0</c:v>
                </c:pt>
                <c:pt idx="212">
                  <c:v>41669.0</c:v>
                </c:pt>
                <c:pt idx="213">
                  <c:v>41676.0</c:v>
                </c:pt>
                <c:pt idx="214">
                  <c:v>41683.0</c:v>
                </c:pt>
                <c:pt idx="215">
                  <c:v>41690.0</c:v>
                </c:pt>
                <c:pt idx="216">
                  <c:v>41697.0</c:v>
                </c:pt>
                <c:pt idx="217">
                  <c:v>41704.0</c:v>
                </c:pt>
                <c:pt idx="218">
                  <c:v>41711.0</c:v>
                </c:pt>
                <c:pt idx="219">
                  <c:v>41718.0</c:v>
                </c:pt>
                <c:pt idx="220">
                  <c:v>41725.0</c:v>
                </c:pt>
                <c:pt idx="221">
                  <c:v>41732.0</c:v>
                </c:pt>
                <c:pt idx="222">
                  <c:v>41739.0</c:v>
                </c:pt>
                <c:pt idx="223">
                  <c:v>41746.0</c:v>
                </c:pt>
                <c:pt idx="224">
                  <c:v>41753.0</c:v>
                </c:pt>
                <c:pt idx="225">
                  <c:v>41760.0</c:v>
                </c:pt>
                <c:pt idx="226">
                  <c:v>41767.0</c:v>
                </c:pt>
                <c:pt idx="227">
                  <c:v>41774.0</c:v>
                </c:pt>
                <c:pt idx="228">
                  <c:v>41781.0</c:v>
                </c:pt>
                <c:pt idx="229">
                  <c:v>41788.0</c:v>
                </c:pt>
                <c:pt idx="230">
                  <c:v>41795.0</c:v>
                </c:pt>
                <c:pt idx="231">
                  <c:v>41802.0</c:v>
                </c:pt>
                <c:pt idx="232">
                  <c:v>41809.0</c:v>
                </c:pt>
                <c:pt idx="233">
                  <c:v>41816.0</c:v>
                </c:pt>
                <c:pt idx="234">
                  <c:v>41823.0</c:v>
                </c:pt>
                <c:pt idx="235">
                  <c:v>41830.0</c:v>
                </c:pt>
                <c:pt idx="236">
                  <c:v>41837.0</c:v>
                </c:pt>
                <c:pt idx="237">
                  <c:v>41844.0</c:v>
                </c:pt>
                <c:pt idx="238">
                  <c:v>41851.0</c:v>
                </c:pt>
                <c:pt idx="239">
                  <c:v>41858.0</c:v>
                </c:pt>
                <c:pt idx="240">
                  <c:v>41865.0</c:v>
                </c:pt>
                <c:pt idx="241">
                  <c:v>41872.0</c:v>
                </c:pt>
                <c:pt idx="242">
                  <c:v>41879.0</c:v>
                </c:pt>
                <c:pt idx="243">
                  <c:v>41886.0</c:v>
                </c:pt>
                <c:pt idx="244">
                  <c:v>41893.0</c:v>
                </c:pt>
                <c:pt idx="245">
                  <c:v>41900.0</c:v>
                </c:pt>
                <c:pt idx="246">
                  <c:v>41907.0</c:v>
                </c:pt>
                <c:pt idx="247">
                  <c:v>41914.0</c:v>
                </c:pt>
                <c:pt idx="248">
                  <c:v>41921.0</c:v>
                </c:pt>
                <c:pt idx="249">
                  <c:v>41928.0</c:v>
                </c:pt>
                <c:pt idx="250">
                  <c:v>41935.0</c:v>
                </c:pt>
                <c:pt idx="251">
                  <c:v>41942.0</c:v>
                </c:pt>
                <c:pt idx="252">
                  <c:v>41949.0</c:v>
                </c:pt>
                <c:pt idx="253">
                  <c:v>41956.0</c:v>
                </c:pt>
                <c:pt idx="254">
                  <c:v>41963.0</c:v>
                </c:pt>
                <c:pt idx="255">
                  <c:v>41970.0</c:v>
                </c:pt>
                <c:pt idx="256">
                  <c:v>41977.0</c:v>
                </c:pt>
                <c:pt idx="257">
                  <c:v>41984.0</c:v>
                </c:pt>
                <c:pt idx="258">
                  <c:v>41991.0</c:v>
                </c:pt>
                <c:pt idx="259">
                  <c:v>41998.0</c:v>
                </c:pt>
                <c:pt idx="260">
                  <c:v>42005.0</c:v>
                </c:pt>
                <c:pt idx="261">
                  <c:v>42012.0</c:v>
                </c:pt>
                <c:pt idx="262">
                  <c:v>42019.0</c:v>
                </c:pt>
                <c:pt idx="263">
                  <c:v>42026.0</c:v>
                </c:pt>
                <c:pt idx="264">
                  <c:v>42033.0</c:v>
                </c:pt>
                <c:pt idx="265">
                  <c:v>42040.0</c:v>
                </c:pt>
                <c:pt idx="266">
                  <c:v>42047.0</c:v>
                </c:pt>
                <c:pt idx="267">
                  <c:v>42054.0</c:v>
                </c:pt>
                <c:pt idx="268">
                  <c:v>42061.0</c:v>
                </c:pt>
                <c:pt idx="269">
                  <c:v>42068.0</c:v>
                </c:pt>
                <c:pt idx="270">
                  <c:v>42075.0</c:v>
                </c:pt>
                <c:pt idx="271">
                  <c:v>42082.0</c:v>
                </c:pt>
                <c:pt idx="272">
                  <c:v>42089.0</c:v>
                </c:pt>
                <c:pt idx="273">
                  <c:v>42096.0</c:v>
                </c:pt>
                <c:pt idx="274">
                  <c:v>42103.0</c:v>
                </c:pt>
                <c:pt idx="275">
                  <c:v>42110.0</c:v>
                </c:pt>
                <c:pt idx="276">
                  <c:v>42117.0</c:v>
                </c:pt>
                <c:pt idx="277">
                  <c:v>42124.0</c:v>
                </c:pt>
                <c:pt idx="278">
                  <c:v>42131.0</c:v>
                </c:pt>
                <c:pt idx="279">
                  <c:v>42138.0</c:v>
                </c:pt>
                <c:pt idx="280">
                  <c:v>42145.0</c:v>
                </c:pt>
                <c:pt idx="281">
                  <c:v>42152.0</c:v>
                </c:pt>
                <c:pt idx="282">
                  <c:v>42159.0</c:v>
                </c:pt>
                <c:pt idx="283">
                  <c:v>42166.0</c:v>
                </c:pt>
                <c:pt idx="284">
                  <c:v>42173.0</c:v>
                </c:pt>
                <c:pt idx="285">
                  <c:v>42180.0</c:v>
                </c:pt>
                <c:pt idx="286">
                  <c:v>42187.0</c:v>
                </c:pt>
                <c:pt idx="287">
                  <c:v>42194.0</c:v>
                </c:pt>
                <c:pt idx="288">
                  <c:v>42201.0</c:v>
                </c:pt>
                <c:pt idx="289">
                  <c:v>42208.0</c:v>
                </c:pt>
                <c:pt idx="290">
                  <c:v>42215.0</c:v>
                </c:pt>
                <c:pt idx="291">
                  <c:v>42222.0</c:v>
                </c:pt>
                <c:pt idx="292">
                  <c:v>42229.0</c:v>
                </c:pt>
                <c:pt idx="293">
                  <c:v>42236.0</c:v>
                </c:pt>
                <c:pt idx="294">
                  <c:v>42243.0</c:v>
                </c:pt>
                <c:pt idx="295">
                  <c:v>42250.0</c:v>
                </c:pt>
                <c:pt idx="296">
                  <c:v>42257.0</c:v>
                </c:pt>
                <c:pt idx="297">
                  <c:v>42264.0</c:v>
                </c:pt>
                <c:pt idx="298">
                  <c:v>42271.0</c:v>
                </c:pt>
                <c:pt idx="299">
                  <c:v>42278.0</c:v>
                </c:pt>
                <c:pt idx="300">
                  <c:v>42285.0</c:v>
                </c:pt>
                <c:pt idx="301">
                  <c:v>42292.0</c:v>
                </c:pt>
                <c:pt idx="302">
                  <c:v>42299.0</c:v>
                </c:pt>
                <c:pt idx="303">
                  <c:v>42306.0</c:v>
                </c:pt>
                <c:pt idx="304">
                  <c:v>42313.0</c:v>
                </c:pt>
                <c:pt idx="305">
                  <c:v>42320.0</c:v>
                </c:pt>
                <c:pt idx="306">
                  <c:v>42327.0</c:v>
                </c:pt>
                <c:pt idx="307">
                  <c:v>42334.0</c:v>
                </c:pt>
                <c:pt idx="308">
                  <c:v>42341.0</c:v>
                </c:pt>
                <c:pt idx="309">
                  <c:v>42348.0</c:v>
                </c:pt>
                <c:pt idx="310">
                  <c:v>42355.0</c:v>
                </c:pt>
                <c:pt idx="311">
                  <c:v>42362.0</c:v>
                </c:pt>
                <c:pt idx="312">
                  <c:v>42369.0</c:v>
                </c:pt>
                <c:pt idx="313">
                  <c:v>42376.0</c:v>
                </c:pt>
                <c:pt idx="314">
                  <c:v>42383.0</c:v>
                </c:pt>
                <c:pt idx="315">
                  <c:v>42390.0</c:v>
                </c:pt>
                <c:pt idx="316">
                  <c:v>42397.0</c:v>
                </c:pt>
                <c:pt idx="317">
                  <c:v>42404.0</c:v>
                </c:pt>
                <c:pt idx="318">
                  <c:v>42411.0</c:v>
                </c:pt>
                <c:pt idx="319">
                  <c:v>42418.0</c:v>
                </c:pt>
                <c:pt idx="320">
                  <c:v>42425.0</c:v>
                </c:pt>
                <c:pt idx="321">
                  <c:v>42432.0</c:v>
                </c:pt>
                <c:pt idx="322">
                  <c:v>42439.0</c:v>
                </c:pt>
                <c:pt idx="323">
                  <c:v>42446.0</c:v>
                </c:pt>
                <c:pt idx="324">
                  <c:v>42453.0</c:v>
                </c:pt>
                <c:pt idx="325">
                  <c:v>42460.0</c:v>
                </c:pt>
                <c:pt idx="326">
                  <c:v>42467.0</c:v>
                </c:pt>
                <c:pt idx="327">
                  <c:v>42474.0</c:v>
                </c:pt>
                <c:pt idx="328">
                  <c:v>42481.0</c:v>
                </c:pt>
                <c:pt idx="329">
                  <c:v>42488.0</c:v>
                </c:pt>
                <c:pt idx="330">
                  <c:v>42495.0</c:v>
                </c:pt>
                <c:pt idx="331">
                  <c:v>42502.0</c:v>
                </c:pt>
                <c:pt idx="332">
                  <c:v>42509.0</c:v>
                </c:pt>
                <c:pt idx="333">
                  <c:v>42516.0</c:v>
                </c:pt>
                <c:pt idx="334">
                  <c:v>42523.0</c:v>
                </c:pt>
                <c:pt idx="335">
                  <c:v>42530.0</c:v>
                </c:pt>
                <c:pt idx="336">
                  <c:v>42537.0</c:v>
                </c:pt>
                <c:pt idx="337">
                  <c:v>42544.0</c:v>
                </c:pt>
                <c:pt idx="338">
                  <c:v>42551.0</c:v>
                </c:pt>
                <c:pt idx="339">
                  <c:v>42558.0</c:v>
                </c:pt>
                <c:pt idx="340">
                  <c:v>42565.0</c:v>
                </c:pt>
                <c:pt idx="341">
                  <c:v>42572.0</c:v>
                </c:pt>
                <c:pt idx="342">
                  <c:v>42579.0</c:v>
                </c:pt>
                <c:pt idx="343">
                  <c:v>42586.0</c:v>
                </c:pt>
                <c:pt idx="344">
                  <c:v>42593.0</c:v>
                </c:pt>
                <c:pt idx="345">
                  <c:v>42600.0</c:v>
                </c:pt>
                <c:pt idx="346">
                  <c:v>42607.0</c:v>
                </c:pt>
                <c:pt idx="347">
                  <c:v>42614.0</c:v>
                </c:pt>
                <c:pt idx="348">
                  <c:v>42621.0</c:v>
                </c:pt>
                <c:pt idx="349">
                  <c:v>42628.0</c:v>
                </c:pt>
                <c:pt idx="350">
                  <c:v>42635.0</c:v>
                </c:pt>
                <c:pt idx="351">
                  <c:v>42642.0</c:v>
                </c:pt>
                <c:pt idx="352">
                  <c:v>42649.0</c:v>
                </c:pt>
                <c:pt idx="353">
                  <c:v>42656.0</c:v>
                </c:pt>
                <c:pt idx="354">
                  <c:v>42663.0</c:v>
                </c:pt>
                <c:pt idx="355">
                  <c:v>42670.0</c:v>
                </c:pt>
                <c:pt idx="356">
                  <c:v>42677.0</c:v>
                </c:pt>
                <c:pt idx="357">
                  <c:v>42684.0</c:v>
                </c:pt>
                <c:pt idx="358">
                  <c:v>42691.0</c:v>
                </c:pt>
                <c:pt idx="359">
                  <c:v>42698.0</c:v>
                </c:pt>
                <c:pt idx="360">
                  <c:v>42705.0</c:v>
                </c:pt>
                <c:pt idx="361">
                  <c:v>42712.0</c:v>
                </c:pt>
                <c:pt idx="362">
                  <c:v>42719.0</c:v>
                </c:pt>
                <c:pt idx="363">
                  <c:v>42726.0</c:v>
                </c:pt>
                <c:pt idx="364">
                  <c:v>42733.0</c:v>
                </c:pt>
                <c:pt idx="365">
                  <c:v>42740.0</c:v>
                </c:pt>
                <c:pt idx="366">
                  <c:v>42747.0</c:v>
                </c:pt>
                <c:pt idx="367">
                  <c:v>42754.0</c:v>
                </c:pt>
                <c:pt idx="368">
                  <c:v>42761.0</c:v>
                </c:pt>
                <c:pt idx="369">
                  <c:v>42768.0</c:v>
                </c:pt>
                <c:pt idx="370">
                  <c:v>42775.0</c:v>
                </c:pt>
                <c:pt idx="371">
                  <c:v>42782.0</c:v>
                </c:pt>
                <c:pt idx="372">
                  <c:v>42789.0</c:v>
                </c:pt>
                <c:pt idx="373">
                  <c:v>42796.0</c:v>
                </c:pt>
                <c:pt idx="374">
                  <c:v>42803.0</c:v>
                </c:pt>
                <c:pt idx="375">
                  <c:v>42810.0</c:v>
                </c:pt>
                <c:pt idx="376">
                  <c:v>42817.0</c:v>
                </c:pt>
                <c:pt idx="377">
                  <c:v>42824.0</c:v>
                </c:pt>
                <c:pt idx="378">
                  <c:v>42831.0</c:v>
                </c:pt>
                <c:pt idx="379">
                  <c:v>42838.0</c:v>
                </c:pt>
                <c:pt idx="380">
                  <c:v>42845.0</c:v>
                </c:pt>
                <c:pt idx="381">
                  <c:v>42852.0</c:v>
                </c:pt>
                <c:pt idx="382">
                  <c:v>42859.0</c:v>
                </c:pt>
              </c:numCache>
            </c:numRef>
          </c:cat>
          <c:val>
            <c:numRef>
              <c:f>Data!$I$339:$I$721</c:f>
              <c:numCache>
                <c:formatCode>0.00%</c:formatCode>
                <c:ptCount val="383"/>
                <c:pt idx="0">
                  <c:v>0.538246704454221</c:v>
                </c:pt>
                <c:pt idx="1">
                  <c:v>0.551268368492093</c:v>
                </c:pt>
                <c:pt idx="2">
                  <c:v>0.515056586388168</c:v>
                </c:pt>
                <c:pt idx="3">
                  <c:v>0.419985449239473</c:v>
                </c:pt>
                <c:pt idx="4">
                  <c:v>0.444034240686739</c:v>
                </c:pt>
                <c:pt idx="5">
                  <c:v>0.486445702085024</c:v>
                </c:pt>
                <c:pt idx="6">
                  <c:v>0.470291225659952</c:v>
                </c:pt>
                <c:pt idx="7">
                  <c:v>0.499255962805453</c:v>
                </c:pt>
                <c:pt idx="8">
                  <c:v>0.51521073109006</c:v>
                </c:pt>
                <c:pt idx="9">
                  <c:v>0.530283324639272</c:v>
                </c:pt>
                <c:pt idx="10">
                  <c:v>0.545355918188483</c:v>
                </c:pt>
                <c:pt idx="11">
                  <c:v>0.560428511737695</c:v>
                </c:pt>
                <c:pt idx="12">
                  <c:v>0.57287609299151</c:v>
                </c:pt>
                <c:pt idx="13">
                  <c:v>0.582449569803792</c:v>
                </c:pt>
                <c:pt idx="14">
                  <c:v>0.626283422887357</c:v>
                </c:pt>
                <c:pt idx="15">
                  <c:v>0.629685204444376</c:v>
                </c:pt>
                <c:pt idx="16">
                  <c:v>0.581995493932626</c:v>
                </c:pt>
                <c:pt idx="17">
                  <c:v>0.459445967662546</c:v>
                </c:pt>
                <c:pt idx="18">
                  <c:v>0.509532570436015</c:v>
                </c:pt>
                <c:pt idx="19">
                  <c:v>0.47306663283142</c:v>
                </c:pt>
                <c:pt idx="20">
                  <c:v>0.436600257702076</c:v>
                </c:pt>
                <c:pt idx="21">
                  <c:v>0.402839971385882</c:v>
                </c:pt>
                <c:pt idx="22">
                  <c:v>0.43735192521827</c:v>
                </c:pt>
                <c:pt idx="23">
                  <c:v>0.468832268325177</c:v>
                </c:pt>
                <c:pt idx="24">
                  <c:v>0.409377121393429</c:v>
                </c:pt>
                <c:pt idx="25">
                  <c:v>0.416442089443184</c:v>
                </c:pt>
                <c:pt idx="26">
                  <c:v>0.439988644045179</c:v>
                </c:pt>
                <c:pt idx="27">
                  <c:v>0.444859968016941</c:v>
                </c:pt>
                <c:pt idx="28">
                  <c:v>0.451990982614954</c:v>
                </c:pt>
                <c:pt idx="29">
                  <c:v>0.477087564890389</c:v>
                </c:pt>
                <c:pt idx="30">
                  <c:v>0.440152958651724</c:v>
                </c:pt>
                <c:pt idx="31">
                  <c:v>0.403217994517815</c:v>
                </c:pt>
                <c:pt idx="32">
                  <c:v>0.366283411905486</c:v>
                </c:pt>
                <c:pt idx="33">
                  <c:v>0.446092322534493</c:v>
                </c:pt>
                <c:pt idx="34">
                  <c:v>0.43858502965324</c:v>
                </c:pt>
                <c:pt idx="35">
                  <c:v>0.45095357206142</c:v>
                </c:pt>
                <c:pt idx="36">
                  <c:v>0.43519674219073</c:v>
                </c:pt>
                <c:pt idx="37">
                  <c:v>0.458161794026475</c:v>
                </c:pt>
                <c:pt idx="38">
                  <c:v>0.465725428282037</c:v>
                </c:pt>
                <c:pt idx="39">
                  <c:v>0.493941450875815</c:v>
                </c:pt>
                <c:pt idx="40">
                  <c:v>0.503361202055491</c:v>
                </c:pt>
                <c:pt idx="41">
                  <c:v>0.491959388952938</c:v>
                </c:pt>
                <c:pt idx="42">
                  <c:v>0.487258711445866</c:v>
                </c:pt>
                <c:pt idx="43">
                  <c:v>0.603810820862055</c:v>
                </c:pt>
                <c:pt idx="44">
                  <c:v>0.613183325494348</c:v>
                </c:pt>
                <c:pt idx="45">
                  <c:v>0.611841169766165</c:v>
                </c:pt>
                <c:pt idx="46">
                  <c:v>0.610276572956157</c:v>
                </c:pt>
                <c:pt idx="47">
                  <c:v>0.614927023497266</c:v>
                </c:pt>
                <c:pt idx="48">
                  <c:v>0.619577474038375</c:v>
                </c:pt>
                <c:pt idx="49">
                  <c:v>0.624227924579483</c:v>
                </c:pt>
                <c:pt idx="50">
                  <c:v>0.628878713327222</c:v>
                </c:pt>
                <c:pt idx="51">
                  <c:v>0.633145686552896</c:v>
                </c:pt>
                <c:pt idx="52">
                  <c:v>0.654466994664385</c:v>
                </c:pt>
                <c:pt idx="53">
                  <c:v>0.683638980829853</c:v>
                </c:pt>
                <c:pt idx="54">
                  <c:v>0.670607597179715</c:v>
                </c:pt>
                <c:pt idx="55">
                  <c:v>0.68414009017385</c:v>
                </c:pt>
                <c:pt idx="56">
                  <c:v>0.715290355860753</c:v>
                </c:pt>
                <c:pt idx="57">
                  <c:v>0.706167567603043</c:v>
                </c:pt>
                <c:pt idx="58">
                  <c:v>0.696082541231238</c:v>
                </c:pt>
                <c:pt idx="59">
                  <c:v>0.69719393503195</c:v>
                </c:pt>
                <c:pt idx="60">
                  <c:v>0.703725920497378</c:v>
                </c:pt>
                <c:pt idx="61">
                  <c:v>0.69194465661964</c:v>
                </c:pt>
                <c:pt idx="62">
                  <c:v>0.656468305926054</c:v>
                </c:pt>
                <c:pt idx="63">
                  <c:v>0.706603110800955</c:v>
                </c:pt>
                <c:pt idx="64">
                  <c:v>0.746604821085192</c:v>
                </c:pt>
                <c:pt idx="65">
                  <c:v>0.736421258014906</c:v>
                </c:pt>
                <c:pt idx="66">
                  <c:v>0.728003990225697</c:v>
                </c:pt>
                <c:pt idx="67">
                  <c:v>0.761212118560456</c:v>
                </c:pt>
                <c:pt idx="68">
                  <c:v>0.772981534268032</c:v>
                </c:pt>
                <c:pt idx="69">
                  <c:v>0.727217320729704</c:v>
                </c:pt>
                <c:pt idx="70">
                  <c:v>0.751409376592863</c:v>
                </c:pt>
                <c:pt idx="71">
                  <c:v>0.744917384389555</c:v>
                </c:pt>
                <c:pt idx="72">
                  <c:v>0.676328379823984</c:v>
                </c:pt>
                <c:pt idx="73">
                  <c:v>0.66540688707705</c:v>
                </c:pt>
                <c:pt idx="74">
                  <c:v>0.625272741989469</c:v>
                </c:pt>
                <c:pt idx="75">
                  <c:v>0.610680416611065</c:v>
                </c:pt>
                <c:pt idx="76">
                  <c:v>0.637903206400112</c:v>
                </c:pt>
                <c:pt idx="77">
                  <c:v>0.667293493788243</c:v>
                </c:pt>
                <c:pt idx="78">
                  <c:v>0.700309986283599</c:v>
                </c:pt>
                <c:pt idx="79">
                  <c:v>0.654093372156363</c:v>
                </c:pt>
                <c:pt idx="80">
                  <c:v>0.677328561396754</c:v>
                </c:pt>
                <c:pt idx="81">
                  <c:v>0.614568261517292</c:v>
                </c:pt>
                <c:pt idx="82">
                  <c:v>0.513062520098793</c:v>
                </c:pt>
                <c:pt idx="83">
                  <c:v>0.476286377448224</c:v>
                </c:pt>
                <c:pt idx="84">
                  <c:v>0.44645156491664</c:v>
                </c:pt>
                <c:pt idx="85">
                  <c:v>0.472644421450088</c:v>
                </c:pt>
                <c:pt idx="86">
                  <c:v>0.521624879407242</c:v>
                </c:pt>
                <c:pt idx="87">
                  <c:v>0.503746743175161</c:v>
                </c:pt>
                <c:pt idx="88">
                  <c:v>0.526564533806444</c:v>
                </c:pt>
                <c:pt idx="89">
                  <c:v>0.431420839741248</c:v>
                </c:pt>
                <c:pt idx="90">
                  <c:v>0.449512925574853</c:v>
                </c:pt>
                <c:pt idx="91">
                  <c:v>0.49451978377527</c:v>
                </c:pt>
                <c:pt idx="92">
                  <c:v>0.579017625684453</c:v>
                </c:pt>
                <c:pt idx="93">
                  <c:v>0.575109217115093</c:v>
                </c:pt>
                <c:pt idx="94">
                  <c:v>0.676922975955827</c:v>
                </c:pt>
                <c:pt idx="95">
                  <c:v>0.660639617428361</c:v>
                </c:pt>
                <c:pt idx="96">
                  <c:v>0.62975518302754</c:v>
                </c:pt>
                <c:pt idx="97">
                  <c:v>0.614302683995564</c:v>
                </c:pt>
                <c:pt idx="98">
                  <c:v>0.549373573942776</c:v>
                </c:pt>
                <c:pt idx="99">
                  <c:v>0.652058882080518</c:v>
                </c:pt>
                <c:pt idx="100">
                  <c:v>0.640081642117882</c:v>
                </c:pt>
                <c:pt idx="101">
                  <c:v>0.612746845993476</c:v>
                </c:pt>
                <c:pt idx="102">
                  <c:v>0.666146741425062</c:v>
                </c:pt>
                <c:pt idx="103">
                  <c:v>0.675657216861329</c:v>
                </c:pt>
                <c:pt idx="104">
                  <c:v>0.702554925762988</c:v>
                </c:pt>
                <c:pt idx="105">
                  <c:v>0.72004016477182</c:v>
                </c:pt>
                <c:pt idx="106">
                  <c:v>0.745324719929471</c:v>
                </c:pt>
                <c:pt idx="107">
                  <c:v>0.750560578582726</c:v>
                </c:pt>
                <c:pt idx="108">
                  <c:v>0.760013738277071</c:v>
                </c:pt>
                <c:pt idx="109">
                  <c:v>0.795038031838676</c:v>
                </c:pt>
                <c:pt idx="110">
                  <c:v>0.786745806434677</c:v>
                </c:pt>
                <c:pt idx="111">
                  <c:v>0.787371284375773</c:v>
                </c:pt>
                <c:pt idx="112">
                  <c:v>0.783938138813476</c:v>
                </c:pt>
                <c:pt idx="113">
                  <c:v>0.783938138813476</c:v>
                </c:pt>
                <c:pt idx="114">
                  <c:v>0.811054929919474</c:v>
                </c:pt>
                <c:pt idx="115">
                  <c:v>0.799074117567275</c:v>
                </c:pt>
                <c:pt idx="116">
                  <c:v>0.801050265468141</c:v>
                </c:pt>
                <c:pt idx="117">
                  <c:v>0.805192543703253</c:v>
                </c:pt>
                <c:pt idx="118">
                  <c:v>0.805610881677995</c:v>
                </c:pt>
                <c:pt idx="119">
                  <c:v>0.772546373904275</c:v>
                </c:pt>
                <c:pt idx="120">
                  <c:v>0.776400402085243</c:v>
                </c:pt>
                <c:pt idx="121">
                  <c:v>0.770670528551771</c:v>
                </c:pt>
                <c:pt idx="122">
                  <c:v>0.732489056412253</c:v>
                </c:pt>
                <c:pt idx="123">
                  <c:v>0.665888164299293</c:v>
                </c:pt>
                <c:pt idx="124">
                  <c:v>0.672738051746052</c:v>
                </c:pt>
                <c:pt idx="125">
                  <c:v>0.664996488863902</c:v>
                </c:pt>
                <c:pt idx="126">
                  <c:v>0.670990577904563</c:v>
                </c:pt>
                <c:pt idx="127">
                  <c:v>0.688870026710886</c:v>
                </c:pt>
                <c:pt idx="128">
                  <c:v>0.684310143792508</c:v>
                </c:pt>
                <c:pt idx="129">
                  <c:v>0.688857776017956</c:v>
                </c:pt>
                <c:pt idx="130">
                  <c:v>0.737834733777129</c:v>
                </c:pt>
                <c:pt idx="131">
                  <c:v>0.696126812172813</c:v>
                </c:pt>
                <c:pt idx="132">
                  <c:v>0.749215189984184</c:v>
                </c:pt>
                <c:pt idx="133">
                  <c:v>0.671660865817723</c:v>
                </c:pt>
                <c:pt idx="134">
                  <c:v>0.678050039705371</c:v>
                </c:pt>
                <c:pt idx="135">
                  <c:v>0.724544919572013</c:v>
                </c:pt>
                <c:pt idx="136">
                  <c:v>0.743228101339482</c:v>
                </c:pt>
                <c:pt idx="137">
                  <c:v>0.732106222258197</c:v>
                </c:pt>
                <c:pt idx="138">
                  <c:v>0.733646309369374</c:v>
                </c:pt>
                <c:pt idx="139">
                  <c:v>0.766806747506656</c:v>
                </c:pt>
                <c:pt idx="140">
                  <c:v>0.798437599126701</c:v>
                </c:pt>
                <c:pt idx="141">
                  <c:v>0.794402093028846</c:v>
                </c:pt>
                <c:pt idx="142">
                  <c:v>0.774071408414039</c:v>
                </c:pt>
                <c:pt idx="143">
                  <c:v>0.835888842462652</c:v>
                </c:pt>
                <c:pt idx="144">
                  <c:v>0.804145109457754</c:v>
                </c:pt>
                <c:pt idx="145">
                  <c:v>0.780735944626868</c:v>
                </c:pt>
                <c:pt idx="146">
                  <c:v>0.757326779795982</c:v>
                </c:pt>
                <c:pt idx="147">
                  <c:v>0.781544685058749</c:v>
                </c:pt>
                <c:pt idx="148">
                  <c:v>0.752560622335201</c:v>
                </c:pt>
                <c:pt idx="149">
                  <c:v>0.734997311847952</c:v>
                </c:pt>
                <c:pt idx="150">
                  <c:v>0.785776289221359</c:v>
                </c:pt>
                <c:pt idx="151">
                  <c:v>0.819054055745028</c:v>
                </c:pt>
                <c:pt idx="152">
                  <c:v>0.845688893653047</c:v>
                </c:pt>
                <c:pt idx="153">
                  <c:v>0.837805728073994</c:v>
                </c:pt>
                <c:pt idx="154">
                  <c:v>0.863278085041685</c:v>
                </c:pt>
                <c:pt idx="155">
                  <c:v>0.838659027951269</c:v>
                </c:pt>
                <c:pt idx="156">
                  <c:v>0.89265388817305</c:v>
                </c:pt>
                <c:pt idx="157">
                  <c:v>0.902214919156365</c:v>
                </c:pt>
                <c:pt idx="158">
                  <c:v>0.930825802584459</c:v>
                </c:pt>
                <c:pt idx="159">
                  <c:v>0.966623415449436</c:v>
                </c:pt>
                <c:pt idx="160">
                  <c:v>0.975009038386234</c:v>
                </c:pt>
                <c:pt idx="161">
                  <c:v>0.986237931207984</c:v>
                </c:pt>
                <c:pt idx="162">
                  <c:v>1.007076017299728</c:v>
                </c:pt>
                <c:pt idx="163">
                  <c:v>0.976231156574794</c:v>
                </c:pt>
                <c:pt idx="164">
                  <c:v>0.978264135877685</c:v>
                </c:pt>
                <c:pt idx="165">
                  <c:v>1.008595613376882</c:v>
                </c:pt>
                <c:pt idx="166">
                  <c:v>1.034472215647197</c:v>
                </c:pt>
                <c:pt idx="167">
                  <c:v>1.01937447743138</c:v>
                </c:pt>
                <c:pt idx="168">
                  <c:v>1.038964203912784</c:v>
                </c:pt>
                <c:pt idx="169">
                  <c:v>0.996636142606816</c:v>
                </c:pt>
                <c:pt idx="170">
                  <c:v>1.036798184272298</c:v>
                </c:pt>
                <c:pt idx="171">
                  <c:v>0.969455328066994</c:v>
                </c:pt>
                <c:pt idx="172">
                  <c:v>1.035356105329708</c:v>
                </c:pt>
                <c:pt idx="173">
                  <c:v>1.057419765180468</c:v>
                </c:pt>
                <c:pt idx="174">
                  <c:v>1.157125745049954</c:v>
                </c:pt>
                <c:pt idx="175">
                  <c:v>1.252243063373272</c:v>
                </c:pt>
                <c:pt idx="176">
                  <c:v>1.254315622039872</c:v>
                </c:pt>
                <c:pt idx="177">
                  <c:v>1.262677316748229</c:v>
                </c:pt>
                <c:pt idx="178">
                  <c:v>1.194767497161559</c:v>
                </c:pt>
                <c:pt idx="179">
                  <c:v>1.238792675398202</c:v>
                </c:pt>
                <c:pt idx="180">
                  <c:v>1.214109342247171</c:v>
                </c:pt>
                <c:pt idx="181">
                  <c:v>1.2824523738999</c:v>
                </c:pt>
                <c:pt idx="182">
                  <c:v>1.316195796262226</c:v>
                </c:pt>
                <c:pt idx="183">
                  <c:v>1.42771316402584</c:v>
                </c:pt>
                <c:pt idx="184">
                  <c:v>1.426938245569515</c:v>
                </c:pt>
                <c:pt idx="185">
                  <c:v>1.404874971178057</c:v>
                </c:pt>
                <c:pt idx="186">
                  <c:v>1.430224300999525</c:v>
                </c:pt>
                <c:pt idx="187">
                  <c:v>1.351721763137228</c:v>
                </c:pt>
                <c:pt idx="188">
                  <c:v>1.252754049838444</c:v>
                </c:pt>
                <c:pt idx="189">
                  <c:v>1.264884766044579</c:v>
                </c:pt>
                <c:pt idx="190">
                  <c:v>1.245428632057</c:v>
                </c:pt>
                <c:pt idx="191">
                  <c:v>1.259459100405367</c:v>
                </c:pt>
                <c:pt idx="192">
                  <c:v>1.330757315085635</c:v>
                </c:pt>
                <c:pt idx="193">
                  <c:v>1.37746092444604</c:v>
                </c:pt>
                <c:pt idx="194">
                  <c:v>1.349985431300958</c:v>
                </c:pt>
                <c:pt idx="195">
                  <c:v>1.342718870223597</c:v>
                </c:pt>
                <c:pt idx="196">
                  <c:v>1.351468722887138</c:v>
                </c:pt>
                <c:pt idx="197">
                  <c:v>1.371653314578106</c:v>
                </c:pt>
                <c:pt idx="198">
                  <c:v>1.374373417308917</c:v>
                </c:pt>
                <c:pt idx="199">
                  <c:v>1.355815161107551</c:v>
                </c:pt>
                <c:pt idx="200">
                  <c:v>1.31484935672924</c:v>
                </c:pt>
                <c:pt idx="201">
                  <c:v>1.40686282855374</c:v>
                </c:pt>
                <c:pt idx="202">
                  <c:v>1.383807274286452</c:v>
                </c:pt>
                <c:pt idx="203">
                  <c:v>1.492599643417331</c:v>
                </c:pt>
                <c:pt idx="204">
                  <c:v>1.586043111500995</c:v>
                </c:pt>
                <c:pt idx="205">
                  <c:v>1.55281214656204</c:v>
                </c:pt>
                <c:pt idx="206">
                  <c:v>1.575812139999169</c:v>
                </c:pt>
                <c:pt idx="207">
                  <c:v>1.610822168503906</c:v>
                </c:pt>
                <c:pt idx="208">
                  <c:v>1.589239475670343</c:v>
                </c:pt>
                <c:pt idx="209">
                  <c:v>1.646571251998941</c:v>
                </c:pt>
                <c:pt idx="210">
                  <c:v>1.652820533473925</c:v>
                </c:pt>
                <c:pt idx="211">
                  <c:v>1.642749640901564</c:v>
                </c:pt>
                <c:pt idx="212">
                  <c:v>1.544715888492443</c:v>
                </c:pt>
                <c:pt idx="213">
                  <c:v>1.530691695561531</c:v>
                </c:pt>
                <c:pt idx="214">
                  <c:v>1.586709667328059</c:v>
                </c:pt>
                <c:pt idx="215">
                  <c:v>1.622301620810427</c:v>
                </c:pt>
                <c:pt idx="216">
                  <c:v>1.678768556408972</c:v>
                </c:pt>
                <c:pt idx="217">
                  <c:v>1.735884458902207</c:v>
                </c:pt>
                <c:pt idx="218">
                  <c:v>1.692994712950951</c:v>
                </c:pt>
                <c:pt idx="219">
                  <c:v>1.758870997140776</c:v>
                </c:pt>
                <c:pt idx="220">
                  <c:v>1.708118048552121</c:v>
                </c:pt>
                <c:pt idx="221">
                  <c:v>1.754345078393497</c:v>
                </c:pt>
                <c:pt idx="222">
                  <c:v>1.669267277742898</c:v>
                </c:pt>
                <c:pt idx="223">
                  <c:v>1.712315100510373</c:v>
                </c:pt>
                <c:pt idx="224">
                  <c:v>1.74701185079531</c:v>
                </c:pt>
                <c:pt idx="225">
                  <c:v>1.73897615752641</c:v>
                </c:pt>
                <c:pt idx="226">
                  <c:v>1.65306093188396</c:v>
                </c:pt>
                <c:pt idx="227">
                  <c:v>1.664710433050988</c:v>
                </c:pt>
                <c:pt idx="228">
                  <c:v>1.720404085341924</c:v>
                </c:pt>
                <c:pt idx="229">
                  <c:v>1.781703118745271</c:v>
                </c:pt>
                <c:pt idx="230">
                  <c:v>1.813318515954047</c:v>
                </c:pt>
                <c:pt idx="231">
                  <c:v>1.814235283892992</c:v>
                </c:pt>
                <c:pt idx="232">
                  <c:v>1.854638556630803</c:v>
                </c:pt>
                <c:pt idx="233">
                  <c:v>1.867551887885092</c:v>
                </c:pt>
                <c:pt idx="234">
                  <c:v>1.937540571681157</c:v>
                </c:pt>
                <c:pt idx="235">
                  <c:v>1.878782295137174</c:v>
                </c:pt>
                <c:pt idx="236">
                  <c:v>1.857336473708271</c:v>
                </c:pt>
                <c:pt idx="237">
                  <c:v>1.928490762455281</c:v>
                </c:pt>
                <c:pt idx="238">
                  <c:v>1.861475026118368</c:v>
                </c:pt>
                <c:pt idx="239">
                  <c:v>1.838686794493152</c:v>
                </c:pt>
                <c:pt idx="240">
                  <c:v>1.915976880088676</c:v>
                </c:pt>
                <c:pt idx="241">
                  <c:v>1.967774268639095</c:v>
                </c:pt>
                <c:pt idx="242">
                  <c:v>1.772219176272158</c:v>
                </c:pt>
                <c:pt idx="243">
                  <c:v>1.65306093188396</c:v>
                </c:pt>
                <c:pt idx="244">
                  <c:v>1.805330801523461</c:v>
                </c:pt>
                <c:pt idx="245">
                  <c:v>1.826325864056686</c:v>
                </c:pt>
                <c:pt idx="246">
                  <c:v>1.724829310657884</c:v>
                </c:pt>
                <c:pt idx="247">
                  <c:v>1.704559226631257</c:v>
                </c:pt>
                <c:pt idx="248">
                  <c:v>1.676426385367423</c:v>
                </c:pt>
                <c:pt idx="249">
                  <c:v>1.604719579451213</c:v>
                </c:pt>
                <c:pt idx="250">
                  <c:v>1.754736314772804</c:v>
                </c:pt>
                <c:pt idx="251">
                  <c:v>1.831100571626083</c:v>
                </c:pt>
                <c:pt idx="252">
                  <c:v>1.875946657016744</c:v>
                </c:pt>
                <c:pt idx="253">
                  <c:v>1.901782912764413</c:v>
                </c:pt>
                <c:pt idx="254">
                  <c:v>1.951012541646887</c:v>
                </c:pt>
                <c:pt idx="255">
                  <c:v>1.986217095404459</c:v>
                </c:pt>
                <c:pt idx="256">
                  <c:v>1.967733424921847</c:v>
                </c:pt>
                <c:pt idx="257">
                  <c:v>1.929602595248089</c:v>
                </c:pt>
                <c:pt idx="258">
                  <c:v>1.954641508206184</c:v>
                </c:pt>
                <c:pt idx="259">
                  <c:v>1.970241049653984</c:v>
                </c:pt>
                <c:pt idx="260">
                  <c:v>1.884228899102357</c:v>
                </c:pt>
                <c:pt idx="261">
                  <c:v>1.947043965283263</c:v>
                </c:pt>
                <c:pt idx="262">
                  <c:v>1.835012042868675</c:v>
                </c:pt>
                <c:pt idx="263">
                  <c:v>1.955213216747572</c:v>
                </c:pt>
                <c:pt idx="264">
                  <c:v>1.905046191675217</c:v>
                </c:pt>
                <c:pt idx="265">
                  <c:v>1.952424434007049</c:v>
                </c:pt>
                <c:pt idx="266">
                  <c:v>1.952907023803534</c:v>
                </c:pt>
                <c:pt idx="267">
                  <c:v>1.964087093676236</c:v>
                </c:pt>
                <c:pt idx="268">
                  <c:v>2.000954678999031</c:v>
                </c:pt>
                <c:pt idx="269">
                  <c:v>1.966840436912213</c:v>
                </c:pt>
                <c:pt idx="270">
                  <c:v>1.98375383107607</c:v>
                </c:pt>
                <c:pt idx="271">
                  <c:v>2.044175381223584</c:v>
                </c:pt>
                <c:pt idx="272">
                  <c:v>1.94688012040681</c:v>
                </c:pt>
                <c:pt idx="273">
                  <c:v>1.971273875178565</c:v>
                </c:pt>
                <c:pt idx="274">
                  <c:v>2.020727297387758</c:v>
                </c:pt>
                <c:pt idx="275">
                  <c:v>2.043790101877637</c:v>
                </c:pt>
                <c:pt idx="276">
                  <c:v>2.034169370205003</c:v>
                </c:pt>
                <c:pt idx="277">
                  <c:v>1.9721493621983</c:v>
                </c:pt>
                <c:pt idx="278">
                  <c:v>1.994311303233089</c:v>
                </c:pt>
                <c:pt idx="279">
                  <c:v>2.037567187394037</c:v>
                </c:pt>
                <c:pt idx="280">
                  <c:v>2.038957203516824</c:v>
                </c:pt>
                <c:pt idx="281">
                  <c:v>2.008505481091274</c:v>
                </c:pt>
                <c:pt idx="282">
                  <c:v>1.993500569875984</c:v>
                </c:pt>
                <c:pt idx="283">
                  <c:v>2.015100729134992</c:v>
                </c:pt>
                <c:pt idx="284">
                  <c:v>2.054659966704367</c:v>
                </c:pt>
                <c:pt idx="285">
                  <c:v>2.01300104787177</c:v>
                </c:pt>
                <c:pt idx="286">
                  <c:v>1.950895285014559</c:v>
                </c:pt>
                <c:pt idx="287">
                  <c:v>1.925509661640236</c:v>
                </c:pt>
                <c:pt idx="288">
                  <c:v>2.004526631037568</c:v>
                </c:pt>
                <c:pt idx="289">
                  <c:v>1.986627931142355</c:v>
                </c:pt>
                <c:pt idx="290">
                  <c:v>1.98600402085243</c:v>
                </c:pt>
                <c:pt idx="291">
                  <c:v>1.99276290315171</c:v>
                </c:pt>
                <c:pt idx="292">
                  <c:v>1.990548152879898</c:v>
                </c:pt>
                <c:pt idx="293">
                  <c:v>1.884600948116128</c:v>
                </c:pt>
                <c:pt idx="294">
                  <c:v>1.890906266885721</c:v>
                </c:pt>
                <c:pt idx="295">
                  <c:v>1.857572131423684</c:v>
                </c:pt>
                <c:pt idx="296">
                  <c:v>1.87018990761665</c:v>
                </c:pt>
                <c:pt idx="297">
                  <c:v>1.90498450068582</c:v>
                </c:pt>
                <c:pt idx="298">
                  <c:v>1.819835621952367</c:v>
                </c:pt>
                <c:pt idx="299">
                  <c:v>1.819835621952367</c:v>
                </c:pt>
                <c:pt idx="300">
                  <c:v>1.892245530137798</c:v>
                </c:pt>
                <c:pt idx="301">
                  <c:v>1.91282056891343</c:v>
                </c:pt>
                <c:pt idx="302">
                  <c:v>1.947948118315443</c:v>
                </c:pt>
                <c:pt idx="303">
                  <c:v>1.934808812623464</c:v>
                </c:pt>
                <c:pt idx="304">
                  <c:v>1.955352474311828</c:v>
                </c:pt>
                <c:pt idx="305">
                  <c:v>1.918803719835404</c:v>
                </c:pt>
                <c:pt idx="306">
                  <c:v>1.95829995384114</c:v>
                </c:pt>
                <c:pt idx="307">
                  <c:v>1.9859392671898</c:v>
                </c:pt>
                <c:pt idx="308">
                  <c:v>1.96517915544598</c:v>
                </c:pt>
                <c:pt idx="309">
                  <c:v>1.985455364819073</c:v>
                </c:pt>
                <c:pt idx="310">
                  <c:v>1.976571862345964</c:v>
                </c:pt>
                <c:pt idx="311">
                  <c:v>2.002507891852633</c:v>
                </c:pt>
                <c:pt idx="312">
                  <c:v>1.97412522395798</c:v>
                </c:pt>
                <c:pt idx="313">
                  <c:v>1.85953136724296</c:v>
                </c:pt>
                <c:pt idx="314">
                  <c:v>1.785352546503412</c:v>
                </c:pt>
                <c:pt idx="315">
                  <c:v>1.737510090414489</c:v>
                </c:pt>
                <c:pt idx="316">
                  <c:v>1.738249069713006</c:v>
                </c:pt>
                <c:pt idx="317">
                  <c:v>1.744454656466506</c:v>
                </c:pt>
                <c:pt idx="318">
                  <c:v>1.713321393866341</c:v>
                </c:pt>
                <c:pt idx="319">
                  <c:v>1.852589599599228</c:v>
                </c:pt>
                <c:pt idx="320">
                  <c:v>1.902401463082755</c:v>
                </c:pt>
                <c:pt idx="321">
                  <c:v>1.948200627848013</c:v>
                </c:pt>
                <c:pt idx="322">
                  <c:v>1.935195977397472</c:v>
                </c:pt>
                <c:pt idx="323">
                  <c:v>1.990350687460759</c:v>
                </c:pt>
                <c:pt idx="324">
                  <c:v>1.95292621276391</c:v>
                </c:pt>
                <c:pt idx="325">
                  <c:v>1.974885668220609</c:v>
                </c:pt>
                <c:pt idx="326">
                  <c:v>1.939557426216921</c:v>
                </c:pt>
                <c:pt idx="327">
                  <c:v>1.958058632691412</c:v>
                </c:pt>
                <c:pt idx="328">
                  <c:v>1.957999901119407</c:v>
                </c:pt>
                <c:pt idx="329">
                  <c:v>1.951962050853501</c:v>
                </c:pt>
                <c:pt idx="330">
                  <c:v>1.914258442368147</c:v>
                </c:pt>
                <c:pt idx="331">
                  <c:v>1.912961458882518</c:v>
                </c:pt>
                <c:pt idx="332">
                  <c:v>1.889805332989148</c:v>
                </c:pt>
                <c:pt idx="333">
                  <c:v>1.929500774637565</c:v>
                </c:pt>
                <c:pt idx="334">
                  <c:v>1.920337159195567</c:v>
                </c:pt>
                <c:pt idx="335">
                  <c:v>1.907391650715244</c:v>
                </c:pt>
                <c:pt idx="336">
                  <c:v>1.876179103380535</c:v>
                </c:pt>
                <c:pt idx="337">
                  <c:v>1.912055581393822</c:v>
                </c:pt>
                <c:pt idx="338">
                  <c:v>1.917413311690443</c:v>
                </c:pt>
                <c:pt idx="339">
                  <c:v>1.910584925084825</c:v>
                </c:pt>
                <c:pt idx="340">
                  <c:v>1.971180139001612</c:v>
                </c:pt>
                <c:pt idx="341">
                  <c:v>1.967598661174273</c:v>
                </c:pt>
                <c:pt idx="342">
                  <c:v>1.979051832244262</c:v>
                </c:pt>
                <c:pt idx="343">
                  <c:v>1.974133579805609</c:v>
                </c:pt>
                <c:pt idx="344">
                  <c:v>1.996224605954274</c:v>
                </c:pt>
                <c:pt idx="345">
                  <c:v>1.99166825211051</c:v>
                </c:pt>
                <c:pt idx="346">
                  <c:v>1.994995661067079</c:v>
                </c:pt>
                <c:pt idx="347">
                  <c:v>2.032873510282926</c:v>
                </c:pt>
                <c:pt idx="348">
                  <c:v>2.034848521056972</c:v>
                </c:pt>
                <c:pt idx="349">
                  <c:v>2.007845200681664</c:v>
                </c:pt>
                <c:pt idx="350">
                  <c:v>2.043404378747672</c:v>
                </c:pt>
                <c:pt idx="351">
                  <c:v>2.020866462634292</c:v>
                </c:pt>
                <c:pt idx="352">
                  <c:v>2.038341201924234</c:v>
                </c:pt>
                <c:pt idx="353">
                  <c:v>1.982399441280897</c:v>
                </c:pt>
                <c:pt idx="354">
                  <c:v>1.944117880980143</c:v>
                </c:pt>
                <c:pt idx="355">
                  <c:v>2.021560314317779</c:v>
                </c:pt>
                <c:pt idx="356">
                  <c:v>2.038434687399506</c:v>
                </c:pt>
                <c:pt idx="357">
                  <c:v>2.026924909377687</c:v>
                </c:pt>
                <c:pt idx="358">
                  <c:v>2.016438081716496</c:v>
                </c:pt>
                <c:pt idx="359">
                  <c:v>1.982399441280897</c:v>
                </c:pt>
                <c:pt idx="360">
                  <c:v>1.944117880980143</c:v>
                </c:pt>
                <c:pt idx="361">
                  <c:v>2.021560314317779</c:v>
                </c:pt>
                <c:pt idx="362">
                  <c:v>2.038434687399506</c:v>
                </c:pt>
                <c:pt idx="363">
                  <c:v>2.026924909377687</c:v>
                </c:pt>
                <c:pt idx="364">
                  <c:v>2.016438081716496</c:v>
                </c:pt>
                <c:pt idx="365">
                  <c:v>2.028873494532035</c:v>
                </c:pt>
                <c:pt idx="366">
                  <c:v>2.048908535014012</c:v>
                </c:pt>
                <c:pt idx="367">
                  <c:v>2.044143949579649</c:v>
                </c:pt>
                <c:pt idx="368">
                  <c:v>2.101314708050674</c:v>
                </c:pt>
                <c:pt idx="369">
                  <c:v>2.071430396594307</c:v>
                </c:pt>
                <c:pt idx="370">
                  <c:v>2.083989530470317</c:v>
                </c:pt>
                <c:pt idx="371">
                  <c:v>2.133089248048092</c:v>
                </c:pt>
                <c:pt idx="372">
                  <c:v>2.156707845912534</c:v>
                </c:pt>
                <c:pt idx="373">
                  <c:v>2.180646032416209</c:v>
                </c:pt>
                <c:pt idx="374">
                  <c:v>2.15329964144847</c:v>
                </c:pt>
                <c:pt idx="375">
                  <c:v>2.174626283861681</c:v>
                </c:pt>
                <c:pt idx="376">
                  <c:v>2.145154053776166</c:v>
                </c:pt>
                <c:pt idx="377">
                  <c:v>2.16699986174218</c:v>
                </c:pt>
                <c:pt idx="378">
                  <c:v>2.156247377367282</c:v>
                </c:pt>
                <c:pt idx="379">
                  <c:v>2.121049234659836</c:v>
                </c:pt>
                <c:pt idx="380">
                  <c:v>2.168261740429693</c:v>
                </c:pt>
                <c:pt idx="381">
                  <c:v>2.2420212702656</c:v>
                </c:pt>
                <c:pt idx="382">
                  <c:v>2.25171789454341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EF-4CC6-87CB-F68BF6D7574F}"/>
            </c:ext>
          </c:extLst>
        </c:ser>
        <c:ser>
          <c:idx val="1"/>
          <c:order val="1"/>
          <c:tx>
            <c:v>IPO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Data!$B$339:$B$721</c:f>
              <c:numCache>
                <c:formatCode>m/d/yy</c:formatCode>
                <c:ptCount val="383"/>
                <c:pt idx="0">
                  <c:v>40185.0</c:v>
                </c:pt>
                <c:pt idx="1">
                  <c:v>40192.0</c:v>
                </c:pt>
                <c:pt idx="2">
                  <c:v>40199.0</c:v>
                </c:pt>
                <c:pt idx="3">
                  <c:v>40206.0</c:v>
                </c:pt>
                <c:pt idx="4">
                  <c:v>40213.0</c:v>
                </c:pt>
                <c:pt idx="5">
                  <c:v>40220.0</c:v>
                </c:pt>
                <c:pt idx="6">
                  <c:v>40227.0</c:v>
                </c:pt>
                <c:pt idx="7">
                  <c:v>40234.0</c:v>
                </c:pt>
                <c:pt idx="8">
                  <c:v>40241.0</c:v>
                </c:pt>
                <c:pt idx="9">
                  <c:v>40248.0</c:v>
                </c:pt>
                <c:pt idx="10">
                  <c:v>40255.0</c:v>
                </c:pt>
                <c:pt idx="11">
                  <c:v>40262.0</c:v>
                </c:pt>
                <c:pt idx="12">
                  <c:v>40269.0</c:v>
                </c:pt>
                <c:pt idx="13">
                  <c:v>40276.0</c:v>
                </c:pt>
                <c:pt idx="14">
                  <c:v>40283.0</c:v>
                </c:pt>
                <c:pt idx="15">
                  <c:v>40290.0</c:v>
                </c:pt>
                <c:pt idx="16">
                  <c:v>40297.0</c:v>
                </c:pt>
                <c:pt idx="17">
                  <c:v>40304.0</c:v>
                </c:pt>
                <c:pt idx="18">
                  <c:v>40311.0</c:v>
                </c:pt>
                <c:pt idx="19">
                  <c:v>40318.0</c:v>
                </c:pt>
                <c:pt idx="20">
                  <c:v>40325.0</c:v>
                </c:pt>
                <c:pt idx="21">
                  <c:v>40332.0</c:v>
                </c:pt>
                <c:pt idx="22">
                  <c:v>40339.0</c:v>
                </c:pt>
                <c:pt idx="23">
                  <c:v>40346.0</c:v>
                </c:pt>
                <c:pt idx="24">
                  <c:v>40353.0</c:v>
                </c:pt>
                <c:pt idx="25">
                  <c:v>40360.0</c:v>
                </c:pt>
                <c:pt idx="26">
                  <c:v>40367.0</c:v>
                </c:pt>
                <c:pt idx="27">
                  <c:v>40374.0</c:v>
                </c:pt>
                <c:pt idx="28">
                  <c:v>40381.0</c:v>
                </c:pt>
                <c:pt idx="29">
                  <c:v>40388.0</c:v>
                </c:pt>
                <c:pt idx="30">
                  <c:v>40395.0</c:v>
                </c:pt>
                <c:pt idx="31">
                  <c:v>40402.0</c:v>
                </c:pt>
                <c:pt idx="32">
                  <c:v>40409.0</c:v>
                </c:pt>
                <c:pt idx="33">
                  <c:v>40416.0</c:v>
                </c:pt>
                <c:pt idx="34">
                  <c:v>40423.0</c:v>
                </c:pt>
                <c:pt idx="35">
                  <c:v>40430.0</c:v>
                </c:pt>
                <c:pt idx="36">
                  <c:v>40437.0</c:v>
                </c:pt>
                <c:pt idx="37">
                  <c:v>40444.0</c:v>
                </c:pt>
                <c:pt idx="38">
                  <c:v>40451.0</c:v>
                </c:pt>
                <c:pt idx="39">
                  <c:v>40458.0</c:v>
                </c:pt>
                <c:pt idx="40">
                  <c:v>40465.0</c:v>
                </c:pt>
                <c:pt idx="41">
                  <c:v>40472.0</c:v>
                </c:pt>
                <c:pt idx="42">
                  <c:v>40479.0</c:v>
                </c:pt>
                <c:pt idx="43">
                  <c:v>40486.0</c:v>
                </c:pt>
                <c:pt idx="44">
                  <c:v>40493.0</c:v>
                </c:pt>
                <c:pt idx="45">
                  <c:v>40500.0</c:v>
                </c:pt>
                <c:pt idx="46">
                  <c:v>40507.0</c:v>
                </c:pt>
                <c:pt idx="47">
                  <c:v>40514.0</c:v>
                </c:pt>
                <c:pt idx="48">
                  <c:v>40521.0</c:v>
                </c:pt>
                <c:pt idx="49">
                  <c:v>40528.0</c:v>
                </c:pt>
                <c:pt idx="50">
                  <c:v>40535.0</c:v>
                </c:pt>
                <c:pt idx="51">
                  <c:v>40542.0</c:v>
                </c:pt>
                <c:pt idx="52">
                  <c:v>40549.0</c:v>
                </c:pt>
                <c:pt idx="53">
                  <c:v>40556.0</c:v>
                </c:pt>
                <c:pt idx="54">
                  <c:v>40563.0</c:v>
                </c:pt>
                <c:pt idx="55">
                  <c:v>40570.0</c:v>
                </c:pt>
                <c:pt idx="56">
                  <c:v>40577.0</c:v>
                </c:pt>
                <c:pt idx="57">
                  <c:v>40584.0</c:v>
                </c:pt>
                <c:pt idx="58">
                  <c:v>40591.0</c:v>
                </c:pt>
                <c:pt idx="59">
                  <c:v>40598.0</c:v>
                </c:pt>
                <c:pt idx="60">
                  <c:v>40605.0</c:v>
                </c:pt>
                <c:pt idx="61">
                  <c:v>40612.0</c:v>
                </c:pt>
                <c:pt idx="62">
                  <c:v>40619.0</c:v>
                </c:pt>
                <c:pt idx="63">
                  <c:v>40626.0</c:v>
                </c:pt>
                <c:pt idx="64">
                  <c:v>40633.0</c:v>
                </c:pt>
                <c:pt idx="65">
                  <c:v>40640.0</c:v>
                </c:pt>
                <c:pt idx="66">
                  <c:v>40647.0</c:v>
                </c:pt>
                <c:pt idx="67">
                  <c:v>40654.0</c:v>
                </c:pt>
                <c:pt idx="68">
                  <c:v>40661.0</c:v>
                </c:pt>
                <c:pt idx="69">
                  <c:v>40668.0</c:v>
                </c:pt>
                <c:pt idx="70">
                  <c:v>40675.0</c:v>
                </c:pt>
                <c:pt idx="71">
                  <c:v>40682.0</c:v>
                </c:pt>
                <c:pt idx="72">
                  <c:v>40689.0</c:v>
                </c:pt>
                <c:pt idx="73">
                  <c:v>40696.0</c:v>
                </c:pt>
                <c:pt idx="74">
                  <c:v>40703.0</c:v>
                </c:pt>
                <c:pt idx="75">
                  <c:v>40710.0</c:v>
                </c:pt>
                <c:pt idx="76">
                  <c:v>40717.0</c:v>
                </c:pt>
                <c:pt idx="77">
                  <c:v>40724.0</c:v>
                </c:pt>
                <c:pt idx="78">
                  <c:v>40731.0</c:v>
                </c:pt>
                <c:pt idx="79">
                  <c:v>40738.0</c:v>
                </c:pt>
                <c:pt idx="80">
                  <c:v>40745.0</c:v>
                </c:pt>
                <c:pt idx="81">
                  <c:v>40752.0</c:v>
                </c:pt>
                <c:pt idx="82">
                  <c:v>40759.0</c:v>
                </c:pt>
                <c:pt idx="83">
                  <c:v>40766.0</c:v>
                </c:pt>
                <c:pt idx="84">
                  <c:v>40773.0</c:v>
                </c:pt>
                <c:pt idx="85">
                  <c:v>40780.0</c:v>
                </c:pt>
                <c:pt idx="86">
                  <c:v>40787.0</c:v>
                </c:pt>
                <c:pt idx="87">
                  <c:v>40794.0</c:v>
                </c:pt>
                <c:pt idx="88">
                  <c:v>40801.0</c:v>
                </c:pt>
                <c:pt idx="89">
                  <c:v>40808.0</c:v>
                </c:pt>
                <c:pt idx="90">
                  <c:v>40815.0</c:v>
                </c:pt>
                <c:pt idx="91">
                  <c:v>40822.0</c:v>
                </c:pt>
                <c:pt idx="92">
                  <c:v>40829.0</c:v>
                </c:pt>
                <c:pt idx="93">
                  <c:v>40836.0</c:v>
                </c:pt>
                <c:pt idx="94">
                  <c:v>40843.0</c:v>
                </c:pt>
                <c:pt idx="95">
                  <c:v>40850.0</c:v>
                </c:pt>
                <c:pt idx="96">
                  <c:v>40857.0</c:v>
                </c:pt>
                <c:pt idx="97">
                  <c:v>40864.0</c:v>
                </c:pt>
                <c:pt idx="98">
                  <c:v>40871.0</c:v>
                </c:pt>
                <c:pt idx="99">
                  <c:v>40878.0</c:v>
                </c:pt>
                <c:pt idx="100">
                  <c:v>40885.0</c:v>
                </c:pt>
                <c:pt idx="101">
                  <c:v>40892.0</c:v>
                </c:pt>
                <c:pt idx="102">
                  <c:v>40899.0</c:v>
                </c:pt>
                <c:pt idx="103">
                  <c:v>40906.0</c:v>
                </c:pt>
                <c:pt idx="104">
                  <c:v>40913.0</c:v>
                </c:pt>
                <c:pt idx="105">
                  <c:v>40920.0</c:v>
                </c:pt>
                <c:pt idx="106">
                  <c:v>40927.0</c:v>
                </c:pt>
                <c:pt idx="107">
                  <c:v>40934.0</c:v>
                </c:pt>
                <c:pt idx="108">
                  <c:v>40941.0</c:v>
                </c:pt>
                <c:pt idx="109">
                  <c:v>40948.0</c:v>
                </c:pt>
                <c:pt idx="110">
                  <c:v>40955.0</c:v>
                </c:pt>
                <c:pt idx="111">
                  <c:v>40962.0</c:v>
                </c:pt>
                <c:pt idx="112">
                  <c:v>40969.0</c:v>
                </c:pt>
                <c:pt idx="113">
                  <c:v>40976.0</c:v>
                </c:pt>
                <c:pt idx="114">
                  <c:v>40983.0</c:v>
                </c:pt>
                <c:pt idx="115">
                  <c:v>40990.0</c:v>
                </c:pt>
                <c:pt idx="116">
                  <c:v>40997.0</c:v>
                </c:pt>
                <c:pt idx="117">
                  <c:v>41004.0</c:v>
                </c:pt>
                <c:pt idx="118">
                  <c:v>41011.0</c:v>
                </c:pt>
                <c:pt idx="119">
                  <c:v>41018.0</c:v>
                </c:pt>
                <c:pt idx="120">
                  <c:v>41025.0</c:v>
                </c:pt>
                <c:pt idx="121">
                  <c:v>41032.0</c:v>
                </c:pt>
                <c:pt idx="122">
                  <c:v>41039.0</c:v>
                </c:pt>
                <c:pt idx="123">
                  <c:v>41046.0</c:v>
                </c:pt>
                <c:pt idx="124">
                  <c:v>41053.0</c:v>
                </c:pt>
                <c:pt idx="125">
                  <c:v>41060.0</c:v>
                </c:pt>
                <c:pt idx="126">
                  <c:v>41067.0</c:v>
                </c:pt>
                <c:pt idx="127">
                  <c:v>41074.0</c:v>
                </c:pt>
                <c:pt idx="128">
                  <c:v>41081.0</c:v>
                </c:pt>
                <c:pt idx="129">
                  <c:v>41088.0</c:v>
                </c:pt>
                <c:pt idx="130">
                  <c:v>41095.0</c:v>
                </c:pt>
                <c:pt idx="131">
                  <c:v>41102.0</c:v>
                </c:pt>
                <c:pt idx="132">
                  <c:v>41109.0</c:v>
                </c:pt>
                <c:pt idx="133">
                  <c:v>41116.0</c:v>
                </c:pt>
                <c:pt idx="134">
                  <c:v>41123.0</c:v>
                </c:pt>
                <c:pt idx="135">
                  <c:v>41130.0</c:v>
                </c:pt>
                <c:pt idx="136">
                  <c:v>41137.0</c:v>
                </c:pt>
                <c:pt idx="137">
                  <c:v>41144.0</c:v>
                </c:pt>
                <c:pt idx="138">
                  <c:v>41151.0</c:v>
                </c:pt>
                <c:pt idx="139">
                  <c:v>41158.0</c:v>
                </c:pt>
                <c:pt idx="140">
                  <c:v>41165.0</c:v>
                </c:pt>
                <c:pt idx="141">
                  <c:v>41172.0</c:v>
                </c:pt>
                <c:pt idx="142">
                  <c:v>41179.0</c:v>
                </c:pt>
                <c:pt idx="143">
                  <c:v>41186.0</c:v>
                </c:pt>
                <c:pt idx="144">
                  <c:v>41193.0</c:v>
                </c:pt>
                <c:pt idx="145">
                  <c:v>41200.0</c:v>
                </c:pt>
                <c:pt idx="146">
                  <c:v>41207.0</c:v>
                </c:pt>
                <c:pt idx="147">
                  <c:v>41214.0</c:v>
                </c:pt>
                <c:pt idx="148">
                  <c:v>41221.0</c:v>
                </c:pt>
                <c:pt idx="149">
                  <c:v>41228.0</c:v>
                </c:pt>
                <c:pt idx="150">
                  <c:v>41235.0</c:v>
                </c:pt>
                <c:pt idx="151">
                  <c:v>41242.0</c:v>
                </c:pt>
                <c:pt idx="152">
                  <c:v>41249.0</c:v>
                </c:pt>
                <c:pt idx="153">
                  <c:v>41256.0</c:v>
                </c:pt>
                <c:pt idx="154">
                  <c:v>41263.0</c:v>
                </c:pt>
                <c:pt idx="155">
                  <c:v>41270.0</c:v>
                </c:pt>
                <c:pt idx="156">
                  <c:v>41277.0</c:v>
                </c:pt>
                <c:pt idx="157">
                  <c:v>41284.0</c:v>
                </c:pt>
                <c:pt idx="158">
                  <c:v>41291.0</c:v>
                </c:pt>
                <c:pt idx="159">
                  <c:v>41298.0</c:v>
                </c:pt>
                <c:pt idx="160">
                  <c:v>41305.0</c:v>
                </c:pt>
                <c:pt idx="161">
                  <c:v>41312.0</c:v>
                </c:pt>
                <c:pt idx="162">
                  <c:v>41319.0</c:v>
                </c:pt>
                <c:pt idx="163">
                  <c:v>41326.0</c:v>
                </c:pt>
                <c:pt idx="164">
                  <c:v>41333.0</c:v>
                </c:pt>
                <c:pt idx="165">
                  <c:v>41340.0</c:v>
                </c:pt>
                <c:pt idx="166">
                  <c:v>41347.0</c:v>
                </c:pt>
                <c:pt idx="167">
                  <c:v>41354.0</c:v>
                </c:pt>
                <c:pt idx="168">
                  <c:v>41361.0</c:v>
                </c:pt>
                <c:pt idx="169">
                  <c:v>41368.0</c:v>
                </c:pt>
                <c:pt idx="170">
                  <c:v>41375.0</c:v>
                </c:pt>
                <c:pt idx="171">
                  <c:v>41382.0</c:v>
                </c:pt>
                <c:pt idx="172">
                  <c:v>41389.0</c:v>
                </c:pt>
                <c:pt idx="173">
                  <c:v>41396.0</c:v>
                </c:pt>
                <c:pt idx="174">
                  <c:v>41403.0</c:v>
                </c:pt>
                <c:pt idx="175">
                  <c:v>41410.0</c:v>
                </c:pt>
                <c:pt idx="176">
                  <c:v>41417.0</c:v>
                </c:pt>
                <c:pt idx="177">
                  <c:v>41424.0</c:v>
                </c:pt>
                <c:pt idx="178">
                  <c:v>41431.0</c:v>
                </c:pt>
                <c:pt idx="179">
                  <c:v>41438.0</c:v>
                </c:pt>
                <c:pt idx="180">
                  <c:v>41445.0</c:v>
                </c:pt>
                <c:pt idx="181">
                  <c:v>41452.0</c:v>
                </c:pt>
                <c:pt idx="182">
                  <c:v>41459.0</c:v>
                </c:pt>
                <c:pt idx="183">
                  <c:v>41466.0</c:v>
                </c:pt>
                <c:pt idx="184">
                  <c:v>41473.0</c:v>
                </c:pt>
                <c:pt idx="185">
                  <c:v>41480.0</c:v>
                </c:pt>
                <c:pt idx="186">
                  <c:v>41487.0</c:v>
                </c:pt>
                <c:pt idx="187">
                  <c:v>41494.0</c:v>
                </c:pt>
                <c:pt idx="188">
                  <c:v>41501.0</c:v>
                </c:pt>
                <c:pt idx="189">
                  <c:v>41508.0</c:v>
                </c:pt>
                <c:pt idx="190">
                  <c:v>41515.0</c:v>
                </c:pt>
                <c:pt idx="191">
                  <c:v>41522.0</c:v>
                </c:pt>
                <c:pt idx="192">
                  <c:v>41529.0</c:v>
                </c:pt>
                <c:pt idx="193">
                  <c:v>41536.0</c:v>
                </c:pt>
                <c:pt idx="194">
                  <c:v>41543.0</c:v>
                </c:pt>
                <c:pt idx="195">
                  <c:v>41550.0</c:v>
                </c:pt>
                <c:pt idx="196">
                  <c:v>41557.0</c:v>
                </c:pt>
                <c:pt idx="197">
                  <c:v>41564.0</c:v>
                </c:pt>
                <c:pt idx="198">
                  <c:v>41571.0</c:v>
                </c:pt>
                <c:pt idx="199">
                  <c:v>41578.0</c:v>
                </c:pt>
                <c:pt idx="200">
                  <c:v>41585.0</c:v>
                </c:pt>
                <c:pt idx="201">
                  <c:v>41592.0</c:v>
                </c:pt>
                <c:pt idx="202">
                  <c:v>41599.0</c:v>
                </c:pt>
                <c:pt idx="203">
                  <c:v>41606.0</c:v>
                </c:pt>
                <c:pt idx="204">
                  <c:v>41613.0</c:v>
                </c:pt>
                <c:pt idx="205">
                  <c:v>41620.0</c:v>
                </c:pt>
                <c:pt idx="206">
                  <c:v>41627.0</c:v>
                </c:pt>
                <c:pt idx="207">
                  <c:v>41634.0</c:v>
                </c:pt>
                <c:pt idx="208">
                  <c:v>41641.0</c:v>
                </c:pt>
                <c:pt idx="209">
                  <c:v>41648.0</c:v>
                </c:pt>
                <c:pt idx="210">
                  <c:v>41655.0</c:v>
                </c:pt>
                <c:pt idx="211">
                  <c:v>41662.0</c:v>
                </c:pt>
                <c:pt idx="212">
                  <c:v>41669.0</c:v>
                </c:pt>
                <c:pt idx="213">
                  <c:v>41676.0</c:v>
                </c:pt>
                <c:pt idx="214">
                  <c:v>41683.0</c:v>
                </c:pt>
                <c:pt idx="215">
                  <c:v>41690.0</c:v>
                </c:pt>
                <c:pt idx="216">
                  <c:v>41697.0</c:v>
                </c:pt>
                <c:pt idx="217">
                  <c:v>41704.0</c:v>
                </c:pt>
                <c:pt idx="218">
                  <c:v>41711.0</c:v>
                </c:pt>
                <c:pt idx="219">
                  <c:v>41718.0</c:v>
                </c:pt>
                <c:pt idx="220">
                  <c:v>41725.0</c:v>
                </c:pt>
                <c:pt idx="221">
                  <c:v>41732.0</c:v>
                </c:pt>
                <c:pt idx="222">
                  <c:v>41739.0</c:v>
                </c:pt>
                <c:pt idx="223">
                  <c:v>41746.0</c:v>
                </c:pt>
                <c:pt idx="224">
                  <c:v>41753.0</c:v>
                </c:pt>
                <c:pt idx="225">
                  <c:v>41760.0</c:v>
                </c:pt>
                <c:pt idx="226">
                  <c:v>41767.0</c:v>
                </c:pt>
                <c:pt idx="227">
                  <c:v>41774.0</c:v>
                </c:pt>
                <c:pt idx="228">
                  <c:v>41781.0</c:v>
                </c:pt>
                <c:pt idx="229">
                  <c:v>41788.0</c:v>
                </c:pt>
                <c:pt idx="230">
                  <c:v>41795.0</c:v>
                </c:pt>
                <c:pt idx="231">
                  <c:v>41802.0</c:v>
                </c:pt>
                <c:pt idx="232">
                  <c:v>41809.0</c:v>
                </c:pt>
                <c:pt idx="233">
                  <c:v>41816.0</c:v>
                </c:pt>
                <c:pt idx="234">
                  <c:v>41823.0</c:v>
                </c:pt>
                <c:pt idx="235">
                  <c:v>41830.0</c:v>
                </c:pt>
                <c:pt idx="236">
                  <c:v>41837.0</c:v>
                </c:pt>
                <c:pt idx="237">
                  <c:v>41844.0</c:v>
                </c:pt>
                <c:pt idx="238">
                  <c:v>41851.0</c:v>
                </c:pt>
                <c:pt idx="239">
                  <c:v>41858.0</c:v>
                </c:pt>
                <c:pt idx="240">
                  <c:v>41865.0</c:v>
                </c:pt>
                <c:pt idx="241">
                  <c:v>41872.0</c:v>
                </c:pt>
                <c:pt idx="242">
                  <c:v>41879.0</c:v>
                </c:pt>
                <c:pt idx="243">
                  <c:v>41886.0</c:v>
                </c:pt>
                <c:pt idx="244">
                  <c:v>41893.0</c:v>
                </c:pt>
                <c:pt idx="245">
                  <c:v>41900.0</c:v>
                </c:pt>
                <c:pt idx="246">
                  <c:v>41907.0</c:v>
                </c:pt>
                <c:pt idx="247">
                  <c:v>41914.0</c:v>
                </c:pt>
                <c:pt idx="248">
                  <c:v>41921.0</c:v>
                </c:pt>
                <c:pt idx="249">
                  <c:v>41928.0</c:v>
                </c:pt>
                <c:pt idx="250">
                  <c:v>41935.0</c:v>
                </c:pt>
                <c:pt idx="251">
                  <c:v>41942.0</c:v>
                </c:pt>
                <c:pt idx="252">
                  <c:v>41949.0</c:v>
                </c:pt>
                <c:pt idx="253">
                  <c:v>41956.0</c:v>
                </c:pt>
                <c:pt idx="254">
                  <c:v>41963.0</c:v>
                </c:pt>
                <c:pt idx="255">
                  <c:v>41970.0</c:v>
                </c:pt>
                <c:pt idx="256">
                  <c:v>41977.0</c:v>
                </c:pt>
                <c:pt idx="257">
                  <c:v>41984.0</c:v>
                </c:pt>
                <c:pt idx="258">
                  <c:v>41991.0</c:v>
                </c:pt>
                <c:pt idx="259">
                  <c:v>41998.0</c:v>
                </c:pt>
                <c:pt idx="260">
                  <c:v>42005.0</c:v>
                </c:pt>
                <c:pt idx="261">
                  <c:v>42012.0</c:v>
                </c:pt>
                <c:pt idx="262">
                  <c:v>42019.0</c:v>
                </c:pt>
                <c:pt idx="263">
                  <c:v>42026.0</c:v>
                </c:pt>
                <c:pt idx="264">
                  <c:v>42033.0</c:v>
                </c:pt>
                <c:pt idx="265">
                  <c:v>42040.0</c:v>
                </c:pt>
                <c:pt idx="266">
                  <c:v>42047.0</c:v>
                </c:pt>
                <c:pt idx="267">
                  <c:v>42054.0</c:v>
                </c:pt>
                <c:pt idx="268">
                  <c:v>42061.0</c:v>
                </c:pt>
                <c:pt idx="269">
                  <c:v>42068.0</c:v>
                </c:pt>
                <c:pt idx="270">
                  <c:v>42075.0</c:v>
                </c:pt>
                <c:pt idx="271">
                  <c:v>42082.0</c:v>
                </c:pt>
                <c:pt idx="272">
                  <c:v>42089.0</c:v>
                </c:pt>
                <c:pt idx="273">
                  <c:v>42096.0</c:v>
                </c:pt>
                <c:pt idx="274">
                  <c:v>42103.0</c:v>
                </c:pt>
                <c:pt idx="275">
                  <c:v>42110.0</c:v>
                </c:pt>
                <c:pt idx="276">
                  <c:v>42117.0</c:v>
                </c:pt>
                <c:pt idx="277">
                  <c:v>42124.0</c:v>
                </c:pt>
                <c:pt idx="278">
                  <c:v>42131.0</c:v>
                </c:pt>
                <c:pt idx="279">
                  <c:v>42138.0</c:v>
                </c:pt>
                <c:pt idx="280">
                  <c:v>42145.0</c:v>
                </c:pt>
                <c:pt idx="281">
                  <c:v>42152.0</c:v>
                </c:pt>
                <c:pt idx="282">
                  <c:v>42159.0</c:v>
                </c:pt>
                <c:pt idx="283">
                  <c:v>42166.0</c:v>
                </c:pt>
                <c:pt idx="284">
                  <c:v>42173.0</c:v>
                </c:pt>
                <c:pt idx="285">
                  <c:v>42180.0</c:v>
                </c:pt>
                <c:pt idx="286">
                  <c:v>42187.0</c:v>
                </c:pt>
                <c:pt idx="287">
                  <c:v>42194.0</c:v>
                </c:pt>
                <c:pt idx="288">
                  <c:v>42201.0</c:v>
                </c:pt>
                <c:pt idx="289">
                  <c:v>42208.0</c:v>
                </c:pt>
                <c:pt idx="290">
                  <c:v>42215.0</c:v>
                </c:pt>
                <c:pt idx="291">
                  <c:v>42222.0</c:v>
                </c:pt>
                <c:pt idx="292">
                  <c:v>42229.0</c:v>
                </c:pt>
                <c:pt idx="293">
                  <c:v>42236.0</c:v>
                </c:pt>
                <c:pt idx="294">
                  <c:v>42243.0</c:v>
                </c:pt>
                <c:pt idx="295">
                  <c:v>42250.0</c:v>
                </c:pt>
                <c:pt idx="296">
                  <c:v>42257.0</c:v>
                </c:pt>
                <c:pt idx="297">
                  <c:v>42264.0</c:v>
                </c:pt>
                <c:pt idx="298">
                  <c:v>42271.0</c:v>
                </c:pt>
                <c:pt idx="299">
                  <c:v>42278.0</c:v>
                </c:pt>
                <c:pt idx="300">
                  <c:v>42285.0</c:v>
                </c:pt>
                <c:pt idx="301">
                  <c:v>42292.0</c:v>
                </c:pt>
                <c:pt idx="302">
                  <c:v>42299.0</c:v>
                </c:pt>
                <c:pt idx="303">
                  <c:v>42306.0</c:v>
                </c:pt>
                <c:pt idx="304">
                  <c:v>42313.0</c:v>
                </c:pt>
                <c:pt idx="305">
                  <c:v>42320.0</c:v>
                </c:pt>
                <c:pt idx="306">
                  <c:v>42327.0</c:v>
                </c:pt>
                <c:pt idx="307">
                  <c:v>42334.0</c:v>
                </c:pt>
                <c:pt idx="308">
                  <c:v>42341.0</c:v>
                </c:pt>
                <c:pt idx="309">
                  <c:v>42348.0</c:v>
                </c:pt>
                <c:pt idx="310">
                  <c:v>42355.0</c:v>
                </c:pt>
                <c:pt idx="311">
                  <c:v>42362.0</c:v>
                </c:pt>
                <c:pt idx="312">
                  <c:v>42369.0</c:v>
                </c:pt>
                <c:pt idx="313">
                  <c:v>42376.0</c:v>
                </c:pt>
                <c:pt idx="314">
                  <c:v>42383.0</c:v>
                </c:pt>
                <c:pt idx="315">
                  <c:v>42390.0</c:v>
                </c:pt>
                <c:pt idx="316">
                  <c:v>42397.0</c:v>
                </c:pt>
                <c:pt idx="317">
                  <c:v>42404.0</c:v>
                </c:pt>
                <c:pt idx="318">
                  <c:v>42411.0</c:v>
                </c:pt>
                <c:pt idx="319">
                  <c:v>42418.0</c:v>
                </c:pt>
                <c:pt idx="320">
                  <c:v>42425.0</c:v>
                </c:pt>
                <c:pt idx="321">
                  <c:v>42432.0</c:v>
                </c:pt>
                <c:pt idx="322">
                  <c:v>42439.0</c:v>
                </c:pt>
                <c:pt idx="323">
                  <c:v>42446.0</c:v>
                </c:pt>
                <c:pt idx="324">
                  <c:v>42453.0</c:v>
                </c:pt>
                <c:pt idx="325">
                  <c:v>42460.0</c:v>
                </c:pt>
                <c:pt idx="326">
                  <c:v>42467.0</c:v>
                </c:pt>
                <c:pt idx="327">
                  <c:v>42474.0</c:v>
                </c:pt>
                <c:pt idx="328">
                  <c:v>42481.0</c:v>
                </c:pt>
                <c:pt idx="329">
                  <c:v>42488.0</c:v>
                </c:pt>
                <c:pt idx="330">
                  <c:v>42495.0</c:v>
                </c:pt>
                <c:pt idx="331">
                  <c:v>42502.0</c:v>
                </c:pt>
                <c:pt idx="332">
                  <c:v>42509.0</c:v>
                </c:pt>
                <c:pt idx="333">
                  <c:v>42516.0</c:v>
                </c:pt>
                <c:pt idx="334">
                  <c:v>42523.0</c:v>
                </c:pt>
                <c:pt idx="335">
                  <c:v>42530.0</c:v>
                </c:pt>
                <c:pt idx="336">
                  <c:v>42537.0</c:v>
                </c:pt>
                <c:pt idx="337">
                  <c:v>42544.0</c:v>
                </c:pt>
                <c:pt idx="338">
                  <c:v>42551.0</c:v>
                </c:pt>
                <c:pt idx="339">
                  <c:v>42558.0</c:v>
                </c:pt>
                <c:pt idx="340">
                  <c:v>42565.0</c:v>
                </c:pt>
                <c:pt idx="341">
                  <c:v>42572.0</c:v>
                </c:pt>
                <c:pt idx="342">
                  <c:v>42579.0</c:v>
                </c:pt>
                <c:pt idx="343">
                  <c:v>42586.0</c:v>
                </c:pt>
                <c:pt idx="344">
                  <c:v>42593.0</c:v>
                </c:pt>
                <c:pt idx="345">
                  <c:v>42600.0</c:v>
                </c:pt>
                <c:pt idx="346">
                  <c:v>42607.0</c:v>
                </c:pt>
                <c:pt idx="347">
                  <c:v>42614.0</c:v>
                </c:pt>
                <c:pt idx="348">
                  <c:v>42621.0</c:v>
                </c:pt>
                <c:pt idx="349">
                  <c:v>42628.0</c:v>
                </c:pt>
                <c:pt idx="350">
                  <c:v>42635.0</c:v>
                </c:pt>
                <c:pt idx="351">
                  <c:v>42642.0</c:v>
                </c:pt>
                <c:pt idx="352">
                  <c:v>42649.0</c:v>
                </c:pt>
                <c:pt idx="353">
                  <c:v>42656.0</c:v>
                </c:pt>
                <c:pt idx="354">
                  <c:v>42663.0</c:v>
                </c:pt>
                <c:pt idx="355">
                  <c:v>42670.0</c:v>
                </c:pt>
                <c:pt idx="356">
                  <c:v>42677.0</c:v>
                </c:pt>
                <c:pt idx="357">
                  <c:v>42684.0</c:v>
                </c:pt>
                <c:pt idx="358">
                  <c:v>42691.0</c:v>
                </c:pt>
                <c:pt idx="359">
                  <c:v>42698.0</c:v>
                </c:pt>
                <c:pt idx="360">
                  <c:v>42705.0</c:v>
                </c:pt>
                <c:pt idx="361">
                  <c:v>42712.0</c:v>
                </c:pt>
                <c:pt idx="362">
                  <c:v>42719.0</c:v>
                </c:pt>
                <c:pt idx="363">
                  <c:v>42726.0</c:v>
                </c:pt>
                <c:pt idx="364">
                  <c:v>42733.0</c:v>
                </c:pt>
                <c:pt idx="365">
                  <c:v>42740.0</c:v>
                </c:pt>
                <c:pt idx="366">
                  <c:v>42747.0</c:v>
                </c:pt>
                <c:pt idx="367">
                  <c:v>42754.0</c:v>
                </c:pt>
                <c:pt idx="368">
                  <c:v>42761.0</c:v>
                </c:pt>
                <c:pt idx="369">
                  <c:v>42768.0</c:v>
                </c:pt>
                <c:pt idx="370">
                  <c:v>42775.0</c:v>
                </c:pt>
                <c:pt idx="371">
                  <c:v>42782.0</c:v>
                </c:pt>
                <c:pt idx="372">
                  <c:v>42789.0</c:v>
                </c:pt>
                <c:pt idx="373">
                  <c:v>42796.0</c:v>
                </c:pt>
                <c:pt idx="374">
                  <c:v>42803.0</c:v>
                </c:pt>
                <c:pt idx="375">
                  <c:v>42810.0</c:v>
                </c:pt>
                <c:pt idx="376">
                  <c:v>42817.0</c:v>
                </c:pt>
                <c:pt idx="377">
                  <c:v>42824.0</c:v>
                </c:pt>
                <c:pt idx="378">
                  <c:v>42831.0</c:v>
                </c:pt>
                <c:pt idx="379">
                  <c:v>42838.0</c:v>
                </c:pt>
                <c:pt idx="380">
                  <c:v>42845.0</c:v>
                </c:pt>
                <c:pt idx="381">
                  <c:v>42852.0</c:v>
                </c:pt>
                <c:pt idx="382">
                  <c:v>42859.0</c:v>
                </c:pt>
              </c:numCache>
            </c:numRef>
          </c:cat>
          <c:val>
            <c:numRef>
              <c:f>Data!$N$339:$N$721</c:f>
              <c:numCache>
                <c:formatCode>0.00%</c:formatCode>
                <c:ptCount val="383"/>
                <c:pt idx="0">
                  <c:v>0.231055393084466</c:v>
                </c:pt>
                <c:pt idx="1">
                  <c:v>0.221432349905385</c:v>
                </c:pt>
                <c:pt idx="2">
                  <c:v>0.173834293824187</c:v>
                </c:pt>
                <c:pt idx="3">
                  <c:v>0.154599496817478</c:v>
                </c:pt>
                <c:pt idx="4">
                  <c:v>0.146342142611388</c:v>
                </c:pt>
                <c:pt idx="5">
                  <c:v>0.156362678479271</c:v>
                </c:pt>
                <c:pt idx="6">
                  <c:v>0.192553221228281</c:v>
                </c:pt>
                <c:pt idx="7">
                  <c:v>0.187521503526578</c:v>
                </c:pt>
                <c:pt idx="8">
                  <c:v>0.224303285738861</c:v>
                </c:pt>
                <c:pt idx="9">
                  <c:v>0.236442026492345</c:v>
                </c:pt>
                <c:pt idx="10">
                  <c:v>0.247097023911922</c:v>
                </c:pt>
                <c:pt idx="11">
                  <c:v>0.254289953552382</c:v>
                </c:pt>
                <c:pt idx="12">
                  <c:v>0.266665233098228</c:v>
                </c:pt>
                <c:pt idx="13">
                  <c:v>0.284158351969723</c:v>
                </c:pt>
                <c:pt idx="14">
                  <c:v>0.281749956992947</c:v>
                </c:pt>
                <c:pt idx="15">
                  <c:v>0.308790641665233</c:v>
                </c:pt>
                <c:pt idx="16">
                  <c:v>0.275900997763633</c:v>
                </c:pt>
                <c:pt idx="17">
                  <c:v>0.194391880268364</c:v>
                </c:pt>
                <c:pt idx="18">
                  <c:v>0.221056253225529</c:v>
                </c:pt>
                <c:pt idx="19">
                  <c:v>0.169458541200757</c:v>
                </c:pt>
                <c:pt idx="20">
                  <c:v>0.171307844486496</c:v>
                </c:pt>
                <c:pt idx="21">
                  <c:v>0.144933769138139</c:v>
                </c:pt>
                <c:pt idx="22">
                  <c:v>0.173662480646826</c:v>
                </c:pt>
                <c:pt idx="23">
                  <c:v>0.20152029932909</c:v>
                </c:pt>
                <c:pt idx="24">
                  <c:v>0.157706863925684</c:v>
                </c:pt>
                <c:pt idx="25">
                  <c:v>0.0994538104249096</c:v>
                </c:pt>
                <c:pt idx="26">
                  <c:v>0.158997075520385</c:v>
                </c:pt>
                <c:pt idx="27">
                  <c:v>0.144933769138139</c:v>
                </c:pt>
                <c:pt idx="28">
                  <c:v>0.185553930844659</c:v>
                </c:pt>
                <c:pt idx="29">
                  <c:v>0.184414243936005</c:v>
                </c:pt>
                <c:pt idx="30">
                  <c:v>0.205960777567521</c:v>
                </c:pt>
                <c:pt idx="31">
                  <c:v>0.160384052984689</c:v>
                </c:pt>
                <c:pt idx="32">
                  <c:v>0.15225571993807</c:v>
                </c:pt>
                <c:pt idx="33">
                  <c:v>0.144621968002752</c:v>
                </c:pt>
                <c:pt idx="34">
                  <c:v>0.187543007053157</c:v>
                </c:pt>
                <c:pt idx="35">
                  <c:v>0.192961895750903</c:v>
                </c:pt>
                <c:pt idx="36">
                  <c:v>0.210207724066747</c:v>
                </c:pt>
                <c:pt idx="37">
                  <c:v>0.235022793738173</c:v>
                </c:pt>
                <c:pt idx="38">
                  <c:v>0.232410115258902</c:v>
                </c:pt>
                <c:pt idx="39">
                  <c:v>0.252741699638741</c:v>
                </c:pt>
                <c:pt idx="40">
                  <c:v>0.264611646309995</c:v>
                </c:pt>
                <c:pt idx="41">
                  <c:v>0.272019611216239</c:v>
                </c:pt>
                <c:pt idx="42">
                  <c:v>0.272213142955445</c:v>
                </c:pt>
                <c:pt idx="43">
                  <c:v>0.31800490280406</c:v>
                </c:pt>
                <c:pt idx="44">
                  <c:v>0.289362205401686</c:v>
                </c:pt>
                <c:pt idx="45">
                  <c:v>0.289921297092723</c:v>
                </c:pt>
                <c:pt idx="46">
                  <c:v>0.278814725615001</c:v>
                </c:pt>
                <c:pt idx="47">
                  <c:v>0.316779201789093</c:v>
                </c:pt>
                <c:pt idx="48">
                  <c:v>0.333648718389816</c:v>
                </c:pt>
                <c:pt idx="49">
                  <c:v>0.337422587304318</c:v>
                </c:pt>
                <c:pt idx="50">
                  <c:v>0.351249354894203</c:v>
                </c:pt>
                <c:pt idx="51">
                  <c:v>0.352184758300361</c:v>
                </c:pt>
                <c:pt idx="52">
                  <c:v>0.367086702219164</c:v>
                </c:pt>
                <c:pt idx="53">
                  <c:v>0.39046103560984</c:v>
                </c:pt>
                <c:pt idx="54">
                  <c:v>0.379827541716841</c:v>
                </c:pt>
                <c:pt idx="55">
                  <c:v>0.372290555651127</c:v>
                </c:pt>
                <c:pt idx="56">
                  <c:v>0.409416394288663</c:v>
                </c:pt>
                <c:pt idx="57">
                  <c:v>0.429070617581283</c:v>
                </c:pt>
                <c:pt idx="58">
                  <c:v>0.443972561500086</c:v>
                </c:pt>
                <c:pt idx="59">
                  <c:v>0.419103733012214</c:v>
                </c:pt>
                <c:pt idx="60">
                  <c:v>0.42046920694994</c:v>
                </c:pt>
                <c:pt idx="61">
                  <c:v>0.402330982281094</c:v>
                </c:pt>
                <c:pt idx="62">
                  <c:v>0.372688370892826</c:v>
                </c:pt>
                <c:pt idx="63">
                  <c:v>0.407427318080165</c:v>
                </c:pt>
                <c:pt idx="64">
                  <c:v>0.432575692413556</c:v>
                </c:pt>
                <c:pt idx="65">
                  <c:v>0.428016944778944</c:v>
                </c:pt>
                <c:pt idx="66">
                  <c:v>0.413340787889214</c:v>
                </c:pt>
                <c:pt idx="67">
                  <c:v>0.437919318768278</c:v>
                </c:pt>
                <c:pt idx="68">
                  <c:v>0.462755891966282</c:v>
                </c:pt>
                <c:pt idx="69">
                  <c:v>0.435467916738345</c:v>
                </c:pt>
                <c:pt idx="70">
                  <c:v>0.450036555995183</c:v>
                </c:pt>
                <c:pt idx="71">
                  <c:v>0.444606915534147</c:v>
                </c:pt>
                <c:pt idx="72">
                  <c:v>0.431167211422673</c:v>
                </c:pt>
                <c:pt idx="73">
                  <c:v>0.397901255805952</c:v>
                </c:pt>
                <c:pt idx="74">
                  <c:v>0.366527610528126</c:v>
                </c:pt>
                <c:pt idx="75">
                  <c:v>0.367086702219164</c:v>
                </c:pt>
                <c:pt idx="76">
                  <c:v>0.363807414415964</c:v>
                </c:pt>
                <c:pt idx="77">
                  <c:v>0.4403814725615</c:v>
                </c:pt>
                <c:pt idx="78">
                  <c:v>0.444821950799931</c:v>
                </c:pt>
                <c:pt idx="79">
                  <c:v>0.415082573542061</c:v>
                </c:pt>
                <c:pt idx="80">
                  <c:v>0.446133665921211</c:v>
                </c:pt>
                <c:pt idx="81">
                  <c:v>0.389428866334079</c:v>
                </c:pt>
                <c:pt idx="82">
                  <c:v>0.289544985377602</c:v>
                </c:pt>
                <c:pt idx="83">
                  <c:v>0.26742860829176</c:v>
                </c:pt>
                <c:pt idx="84">
                  <c:v>0.207992860829176</c:v>
                </c:pt>
                <c:pt idx="85">
                  <c:v>0.246419662824703</c:v>
                </c:pt>
                <c:pt idx="86">
                  <c:v>0.294963874075348</c:v>
                </c:pt>
                <c:pt idx="87">
                  <c:v>0.241000774126957</c:v>
                </c:pt>
                <c:pt idx="88">
                  <c:v>0.307425167727507</c:v>
                </c:pt>
                <c:pt idx="89">
                  <c:v>0.221862635472218</c:v>
                </c:pt>
                <c:pt idx="90">
                  <c:v>0.216476002064339</c:v>
                </c:pt>
                <c:pt idx="91">
                  <c:v>0.252548167899536</c:v>
                </c:pt>
                <c:pt idx="92">
                  <c:v>0.294146740065371</c:v>
                </c:pt>
                <c:pt idx="93">
                  <c:v>0.306758558403578</c:v>
                </c:pt>
                <c:pt idx="94">
                  <c:v>0.3811607603647</c:v>
                </c:pt>
                <c:pt idx="95">
                  <c:v>0.355958627214863</c:v>
                </c:pt>
                <c:pt idx="96">
                  <c:v>0.358861603302941</c:v>
                </c:pt>
                <c:pt idx="97">
                  <c:v>0.307038104249097</c:v>
                </c:pt>
                <c:pt idx="98">
                  <c:v>0.245774557027352</c:v>
                </c:pt>
                <c:pt idx="99">
                  <c:v>0.337820402546017</c:v>
                </c:pt>
                <c:pt idx="100">
                  <c:v>0.349550576294512</c:v>
                </c:pt>
                <c:pt idx="101">
                  <c:v>0.311349561328058</c:v>
                </c:pt>
                <c:pt idx="102">
                  <c:v>0.36045286426974</c:v>
                </c:pt>
                <c:pt idx="103">
                  <c:v>0.352141751247204</c:v>
                </c:pt>
                <c:pt idx="104">
                  <c:v>0.373871064854636</c:v>
                </c:pt>
                <c:pt idx="105">
                  <c:v>0.392890934113194</c:v>
                </c:pt>
                <c:pt idx="106">
                  <c:v>0.413319284362635</c:v>
                </c:pt>
                <c:pt idx="107">
                  <c:v>0.417544727335283</c:v>
                </c:pt>
                <c:pt idx="108">
                  <c:v>0.425189231033889</c:v>
                </c:pt>
                <c:pt idx="109">
                  <c:v>0.453584637880612</c:v>
                </c:pt>
                <c:pt idx="110">
                  <c:v>0.460132461723723</c:v>
                </c:pt>
                <c:pt idx="111">
                  <c:v>0.465959917426458</c:v>
                </c:pt>
                <c:pt idx="112">
                  <c:v>0.474045243419921</c:v>
                </c:pt>
                <c:pt idx="113">
                  <c:v>0.475120419748839</c:v>
                </c:pt>
                <c:pt idx="114">
                  <c:v>0.509095991742646</c:v>
                </c:pt>
                <c:pt idx="115">
                  <c:v>0.497494839153621</c:v>
                </c:pt>
                <c:pt idx="116">
                  <c:v>0.499806468260795</c:v>
                </c:pt>
                <c:pt idx="117">
                  <c:v>0.503182521933597</c:v>
                </c:pt>
                <c:pt idx="118">
                  <c:v>0.491731894030621</c:v>
                </c:pt>
                <c:pt idx="119">
                  <c:v>0.480431790813693</c:v>
                </c:pt>
                <c:pt idx="120">
                  <c:v>0.505225356958541</c:v>
                </c:pt>
                <c:pt idx="121">
                  <c:v>0.496183124032341</c:v>
                </c:pt>
                <c:pt idx="122">
                  <c:v>0.460121709960433</c:v>
                </c:pt>
                <c:pt idx="123">
                  <c:v>0.402954584551866</c:v>
                </c:pt>
                <c:pt idx="124">
                  <c:v>0.419963874075348</c:v>
                </c:pt>
                <c:pt idx="125">
                  <c:v>0.408835799071048</c:v>
                </c:pt>
                <c:pt idx="126">
                  <c:v>0.413846120763805</c:v>
                </c:pt>
                <c:pt idx="127">
                  <c:v>0.429016858764837</c:v>
                </c:pt>
                <c:pt idx="128">
                  <c:v>0.425156975744022</c:v>
                </c:pt>
                <c:pt idx="129">
                  <c:v>0.428952348185102</c:v>
                </c:pt>
                <c:pt idx="130">
                  <c:v>0.4703896439016</c:v>
                </c:pt>
                <c:pt idx="131">
                  <c:v>0.435102356786513</c:v>
                </c:pt>
                <c:pt idx="132">
                  <c:v>0.479990968518837</c:v>
                </c:pt>
                <c:pt idx="133">
                  <c:v>0.46226131085498</c:v>
                </c:pt>
                <c:pt idx="134">
                  <c:v>0.467615688972991</c:v>
                </c:pt>
                <c:pt idx="135">
                  <c:v>0.50825735420609</c:v>
                </c:pt>
                <c:pt idx="136">
                  <c:v>0.52227765353518</c:v>
                </c:pt>
                <c:pt idx="137">
                  <c:v>0.507483227249269</c:v>
                </c:pt>
                <c:pt idx="138">
                  <c:v>0.505322122828144</c:v>
                </c:pt>
                <c:pt idx="139">
                  <c:v>0.539781524169964</c:v>
                </c:pt>
                <c:pt idx="140">
                  <c:v>0.569746688456907</c:v>
                </c:pt>
                <c:pt idx="141">
                  <c:v>0.570036986065715</c:v>
                </c:pt>
                <c:pt idx="142">
                  <c:v>0.570036986065715</c:v>
                </c:pt>
                <c:pt idx="143">
                  <c:v>0.571262687080681</c:v>
                </c:pt>
                <c:pt idx="144">
                  <c:v>0.540555651126785</c:v>
                </c:pt>
                <c:pt idx="145">
                  <c:v>0.566897471185274</c:v>
                </c:pt>
                <c:pt idx="146">
                  <c:v>0.519191897471185</c:v>
                </c:pt>
                <c:pt idx="147">
                  <c:v>0.534910975399965</c:v>
                </c:pt>
                <c:pt idx="148">
                  <c:v>0.481066144847755</c:v>
                </c:pt>
                <c:pt idx="149">
                  <c:v>0.455068381214519</c:v>
                </c:pt>
                <c:pt idx="150">
                  <c:v>0.495602528814725</c:v>
                </c:pt>
                <c:pt idx="151">
                  <c:v>0.522395922931361</c:v>
                </c:pt>
                <c:pt idx="152">
                  <c:v>0.520234818510236</c:v>
                </c:pt>
                <c:pt idx="153">
                  <c:v>0.526159040082574</c:v>
                </c:pt>
                <c:pt idx="154">
                  <c:v>0.552221314295545</c:v>
                </c:pt>
                <c:pt idx="155">
                  <c:v>0.524707552038534</c:v>
                </c:pt>
                <c:pt idx="156">
                  <c:v>0.569080079132978</c:v>
                </c:pt>
                <c:pt idx="157">
                  <c:v>0.582788577326681</c:v>
                </c:pt>
                <c:pt idx="158">
                  <c:v>0.592271632547738</c:v>
                </c:pt>
                <c:pt idx="159">
                  <c:v>0.607195079993119</c:v>
                </c:pt>
                <c:pt idx="160">
                  <c:v>0.610732410115259</c:v>
                </c:pt>
                <c:pt idx="161">
                  <c:v>0.622860399105453</c:v>
                </c:pt>
                <c:pt idx="162">
                  <c:v>0.635751763289179</c:v>
                </c:pt>
                <c:pt idx="163">
                  <c:v>0.615366420092895</c:v>
                </c:pt>
                <c:pt idx="164">
                  <c:v>0.628548081885429</c:v>
                </c:pt>
                <c:pt idx="165">
                  <c:v>0.660351797694822</c:v>
                </c:pt>
                <c:pt idx="166">
                  <c:v>0.680747892654395</c:v>
                </c:pt>
                <c:pt idx="167">
                  <c:v>0.662007569241355</c:v>
                </c:pt>
                <c:pt idx="168">
                  <c:v>0.687155943574746</c:v>
                </c:pt>
                <c:pt idx="169">
                  <c:v>0.677253569585412</c:v>
                </c:pt>
                <c:pt idx="170">
                  <c:v>0.713153707207982</c:v>
                </c:pt>
                <c:pt idx="171">
                  <c:v>0.657502580423189</c:v>
                </c:pt>
                <c:pt idx="172">
                  <c:v>0.704326509547566</c:v>
                </c:pt>
                <c:pt idx="173">
                  <c:v>0.717690951316016</c:v>
                </c:pt>
                <c:pt idx="174">
                  <c:v>0.74895707896095</c:v>
                </c:pt>
                <c:pt idx="175">
                  <c:v>0.774546275589196</c:v>
                </c:pt>
                <c:pt idx="176">
                  <c:v>0.774589282642353</c:v>
                </c:pt>
                <c:pt idx="177">
                  <c:v>0.778782470325133</c:v>
                </c:pt>
                <c:pt idx="178">
                  <c:v>0.744430586616205</c:v>
                </c:pt>
                <c:pt idx="179">
                  <c:v>0.759375537588164</c:v>
                </c:pt>
                <c:pt idx="180">
                  <c:v>0.707584293824187</c:v>
                </c:pt>
                <c:pt idx="181">
                  <c:v>0.734474453810425</c:v>
                </c:pt>
                <c:pt idx="182">
                  <c:v>0.736850593497333</c:v>
                </c:pt>
                <c:pt idx="183">
                  <c:v>0.800941854464132</c:v>
                </c:pt>
                <c:pt idx="184">
                  <c:v>0.816370634784104</c:v>
                </c:pt>
                <c:pt idx="185">
                  <c:v>0.817316789953552</c:v>
                </c:pt>
                <c:pt idx="186">
                  <c:v>0.835186220540168</c:v>
                </c:pt>
                <c:pt idx="187">
                  <c:v>0.825090314811629</c:v>
                </c:pt>
                <c:pt idx="188">
                  <c:v>0.786211938757956</c:v>
                </c:pt>
                <c:pt idx="189">
                  <c:v>0.781524169963874</c:v>
                </c:pt>
                <c:pt idx="190">
                  <c:v>0.761321606743506</c:v>
                </c:pt>
                <c:pt idx="191">
                  <c:v>0.779502838465508</c:v>
                </c:pt>
                <c:pt idx="192">
                  <c:v>0.809973335627043</c:v>
                </c:pt>
                <c:pt idx="193">
                  <c:v>0.851819198348529</c:v>
                </c:pt>
                <c:pt idx="194">
                  <c:v>0.826369774643041</c:v>
                </c:pt>
                <c:pt idx="195">
                  <c:v>0.804855496301393</c:v>
                </c:pt>
                <c:pt idx="196">
                  <c:v>0.819800447273353</c:v>
                </c:pt>
                <c:pt idx="197">
                  <c:v>0.859485205573714</c:v>
                </c:pt>
                <c:pt idx="198">
                  <c:v>0.883784190607259</c:v>
                </c:pt>
                <c:pt idx="199">
                  <c:v>0.888590228797523</c:v>
                </c:pt>
                <c:pt idx="200">
                  <c:v>0.878494323068983</c:v>
                </c:pt>
                <c:pt idx="201">
                  <c:v>0.925232238087046</c:v>
                </c:pt>
                <c:pt idx="202">
                  <c:v>0.930855410287287</c:v>
                </c:pt>
                <c:pt idx="203">
                  <c:v>0.943090916910373</c:v>
                </c:pt>
                <c:pt idx="204">
                  <c:v>0.919222002408395</c:v>
                </c:pt>
                <c:pt idx="205">
                  <c:v>0.908975571993807</c:v>
                </c:pt>
                <c:pt idx="206">
                  <c:v>0.945639084809909</c:v>
                </c:pt>
                <c:pt idx="207">
                  <c:v>0.980496301393428</c:v>
                </c:pt>
                <c:pt idx="208">
                  <c:v>0.969701531051092</c:v>
                </c:pt>
                <c:pt idx="209">
                  <c:v>0.976313865473938</c:v>
                </c:pt>
                <c:pt idx="210">
                  <c:v>0.984657233786341</c:v>
                </c:pt>
                <c:pt idx="211">
                  <c:v>0.965916910373301</c:v>
                </c:pt>
                <c:pt idx="212">
                  <c:v>0.929070617581283</c:v>
                </c:pt>
                <c:pt idx="213">
                  <c:v>0.906749956992947</c:v>
                </c:pt>
                <c:pt idx="214">
                  <c:v>0.967389901943919</c:v>
                </c:pt>
                <c:pt idx="215">
                  <c:v>0.978087906416652</c:v>
                </c:pt>
                <c:pt idx="216">
                  <c:v>0.993688714949251</c:v>
                </c:pt>
                <c:pt idx="217">
                  <c:v>1.018138224668846</c:v>
                </c:pt>
                <c:pt idx="218">
                  <c:v>0.985141063134354</c:v>
                </c:pt>
                <c:pt idx="219">
                  <c:v>1.012740839497678</c:v>
                </c:pt>
                <c:pt idx="220">
                  <c:v>0.988044039222432</c:v>
                </c:pt>
                <c:pt idx="221">
                  <c:v>1.030760794770342</c:v>
                </c:pt>
                <c:pt idx="222">
                  <c:v>0.970884225012902</c:v>
                </c:pt>
                <c:pt idx="223">
                  <c:v>1.005042576982625</c:v>
                </c:pt>
                <c:pt idx="224">
                  <c:v>1.019837003268536</c:v>
                </c:pt>
                <c:pt idx="225">
                  <c:v>1.02528814725615</c:v>
                </c:pt>
                <c:pt idx="226">
                  <c:v>1.01663297780836</c:v>
                </c:pt>
                <c:pt idx="227">
                  <c:v>1.011493634956133</c:v>
                </c:pt>
                <c:pt idx="228">
                  <c:v>1.034760450713917</c:v>
                </c:pt>
                <c:pt idx="229">
                  <c:v>1.064370806812317</c:v>
                </c:pt>
                <c:pt idx="230">
                  <c:v>1.086336659212111</c:v>
                </c:pt>
                <c:pt idx="231">
                  <c:v>1.07520858420781</c:v>
                </c:pt>
                <c:pt idx="232">
                  <c:v>1.10678651298813</c:v>
                </c:pt>
                <c:pt idx="233">
                  <c:v>1.104356614484776</c:v>
                </c:pt>
                <c:pt idx="234">
                  <c:v>1.13469809048684</c:v>
                </c:pt>
                <c:pt idx="235">
                  <c:v>1.112377429898503</c:v>
                </c:pt>
                <c:pt idx="236">
                  <c:v>1.105324273180802</c:v>
                </c:pt>
                <c:pt idx="237">
                  <c:v>1.137429038362291</c:v>
                </c:pt>
                <c:pt idx="238">
                  <c:v>1.075810682952004</c:v>
                </c:pt>
                <c:pt idx="239">
                  <c:v>1.053124462411835</c:v>
                </c:pt>
                <c:pt idx="240">
                  <c:v>1.102163254773783</c:v>
                </c:pt>
                <c:pt idx="241">
                  <c:v>1.142149062446241</c:v>
                </c:pt>
                <c:pt idx="242">
                  <c:v>1.146847583003613</c:v>
                </c:pt>
                <c:pt idx="243">
                  <c:v>1.147825993462928</c:v>
                </c:pt>
                <c:pt idx="244">
                  <c:v>1.147610958197144</c:v>
                </c:pt>
                <c:pt idx="245">
                  <c:v>1.162566660932393</c:v>
                </c:pt>
                <c:pt idx="246">
                  <c:v>1.113785910889386</c:v>
                </c:pt>
                <c:pt idx="247">
                  <c:v>1.092475916050232</c:v>
                </c:pt>
                <c:pt idx="248">
                  <c:v>1.073165749182866</c:v>
                </c:pt>
                <c:pt idx="249">
                  <c:v>1.002795458455187</c:v>
                </c:pt>
                <c:pt idx="250">
                  <c:v>1.097475485979701</c:v>
                </c:pt>
                <c:pt idx="251">
                  <c:v>1.144600464476174</c:v>
                </c:pt>
                <c:pt idx="252">
                  <c:v>1.183908911061414</c:v>
                </c:pt>
                <c:pt idx="253">
                  <c:v>1.192639342852228</c:v>
                </c:pt>
                <c:pt idx="254">
                  <c:v>1.207068209186307</c:v>
                </c:pt>
                <c:pt idx="255">
                  <c:v>1.228657749870979</c:v>
                </c:pt>
                <c:pt idx="256">
                  <c:v>1.227679339411663</c:v>
                </c:pt>
                <c:pt idx="257">
                  <c:v>1.188338637536556</c:v>
                </c:pt>
                <c:pt idx="258">
                  <c:v>1.216185704455531</c:v>
                </c:pt>
                <c:pt idx="259">
                  <c:v>1.238388095647686</c:v>
                </c:pt>
                <c:pt idx="260">
                  <c:v>1.213680543609152</c:v>
                </c:pt>
                <c:pt idx="261">
                  <c:v>1.217164114914846</c:v>
                </c:pt>
                <c:pt idx="262">
                  <c:v>1.142471615344916</c:v>
                </c:pt>
                <c:pt idx="263">
                  <c:v>1.218250043007053</c:v>
                </c:pt>
                <c:pt idx="264">
                  <c:v>1.173200154825391</c:v>
                </c:pt>
                <c:pt idx="265">
                  <c:v>1.217572681919835</c:v>
                </c:pt>
                <c:pt idx="266">
                  <c:v>1.245484259418545</c:v>
                </c:pt>
                <c:pt idx="267">
                  <c:v>1.255128591088938</c:v>
                </c:pt>
                <c:pt idx="268">
                  <c:v>1.263256924135558</c:v>
                </c:pt>
                <c:pt idx="269">
                  <c:v>1.258988474109754</c:v>
                </c:pt>
                <c:pt idx="270">
                  <c:v>1.221260536728023</c:v>
                </c:pt>
                <c:pt idx="271">
                  <c:v>1.24633364871839</c:v>
                </c:pt>
                <c:pt idx="272">
                  <c:v>1.210723808704627</c:v>
                </c:pt>
                <c:pt idx="273">
                  <c:v>1.22234646482023</c:v>
                </c:pt>
                <c:pt idx="274">
                  <c:v>1.248387235506623</c:v>
                </c:pt>
                <c:pt idx="275">
                  <c:v>1.26323542060898</c:v>
                </c:pt>
                <c:pt idx="276">
                  <c:v>1.271772320660588</c:v>
                </c:pt>
                <c:pt idx="277">
                  <c:v>1.242290985721659</c:v>
                </c:pt>
                <c:pt idx="278">
                  <c:v>1.244968174780664</c:v>
                </c:pt>
                <c:pt idx="279">
                  <c:v>1.280556511267848</c:v>
                </c:pt>
                <c:pt idx="280">
                  <c:v>1.29100722518493</c:v>
                </c:pt>
                <c:pt idx="281">
                  <c:v>1.280223206605883</c:v>
                </c:pt>
                <c:pt idx="282">
                  <c:v>1.253397557199381</c:v>
                </c:pt>
                <c:pt idx="283">
                  <c:v>1.267396353001892</c:v>
                </c:pt>
                <c:pt idx="284">
                  <c:v>1.280707035953896</c:v>
                </c:pt>
                <c:pt idx="285">
                  <c:v>1.260353948047479</c:v>
                </c:pt>
                <c:pt idx="286">
                  <c:v>1.232904696370205</c:v>
                </c:pt>
                <c:pt idx="287">
                  <c:v>1.205519955272665</c:v>
                </c:pt>
                <c:pt idx="288">
                  <c:v>1.283986323757096</c:v>
                </c:pt>
                <c:pt idx="289">
                  <c:v>1.260181919834853</c:v>
                </c:pt>
                <c:pt idx="290">
                  <c:v>1.267149062446241</c:v>
                </c:pt>
                <c:pt idx="291">
                  <c:v>1.240194391880268</c:v>
                </c:pt>
                <c:pt idx="292">
                  <c:v>1.240011611904352</c:v>
                </c:pt>
                <c:pt idx="293">
                  <c:v>1.188768708068123</c:v>
                </c:pt>
                <c:pt idx="294">
                  <c:v>1.137084981937038</c:v>
                </c:pt>
                <c:pt idx="295">
                  <c:v>1.097808790641665</c:v>
                </c:pt>
                <c:pt idx="296">
                  <c:v>1.09905599518321</c:v>
                </c:pt>
                <c:pt idx="297">
                  <c:v>1.13981592981249</c:v>
                </c:pt>
                <c:pt idx="298">
                  <c:v>1.077498709788405</c:v>
                </c:pt>
                <c:pt idx="299">
                  <c:v>1.068445725098916</c:v>
                </c:pt>
                <c:pt idx="300">
                  <c:v>1.164792275933253</c:v>
                </c:pt>
                <c:pt idx="301">
                  <c:v>1.176006365043867</c:v>
                </c:pt>
                <c:pt idx="302">
                  <c:v>1.206810166867367</c:v>
                </c:pt>
                <c:pt idx="303">
                  <c:v>1.246484173404438</c:v>
                </c:pt>
                <c:pt idx="304">
                  <c:v>1.257795028384655</c:v>
                </c:pt>
                <c:pt idx="305">
                  <c:v>1.199778513676243</c:v>
                </c:pt>
                <c:pt idx="306">
                  <c:v>1.237699982797178</c:v>
                </c:pt>
                <c:pt idx="307">
                  <c:v>1.245903578186823</c:v>
                </c:pt>
                <c:pt idx="308">
                  <c:v>1.203702907276793</c:v>
                </c:pt>
                <c:pt idx="309">
                  <c:v>1.206509117495269</c:v>
                </c:pt>
                <c:pt idx="310">
                  <c:v>1.195391794254258</c:v>
                </c:pt>
                <c:pt idx="311">
                  <c:v>1.21592766213659</c:v>
                </c:pt>
                <c:pt idx="312">
                  <c:v>1.197595905728539</c:v>
                </c:pt>
                <c:pt idx="313">
                  <c:v>1.089164372957165</c:v>
                </c:pt>
                <c:pt idx="314">
                  <c:v>1.066316875967658</c:v>
                </c:pt>
                <c:pt idx="315">
                  <c:v>1.009493806984346</c:v>
                </c:pt>
                <c:pt idx="316">
                  <c:v>1.035695854120076</c:v>
                </c:pt>
                <c:pt idx="317">
                  <c:v>1.059446499225873</c:v>
                </c:pt>
                <c:pt idx="318">
                  <c:v>0.966035179769482</c:v>
                </c:pt>
                <c:pt idx="319">
                  <c:v>1.062005418888698</c:v>
                </c:pt>
                <c:pt idx="320">
                  <c:v>1.098421641149149</c:v>
                </c:pt>
                <c:pt idx="321">
                  <c:v>1.14321348701187</c:v>
                </c:pt>
                <c:pt idx="322">
                  <c:v>1.124462411835541</c:v>
                </c:pt>
                <c:pt idx="323">
                  <c:v>1.193994065026664</c:v>
                </c:pt>
                <c:pt idx="324">
                  <c:v>1.189037502150353</c:v>
                </c:pt>
                <c:pt idx="325">
                  <c:v>1.214583691725442</c:v>
                </c:pt>
                <c:pt idx="326">
                  <c:v>1.195413297780836</c:v>
                </c:pt>
                <c:pt idx="327">
                  <c:v>1.239097712024772</c:v>
                </c:pt>
                <c:pt idx="328">
                  <c:v>1.248709788405298</c:v>
                </c:pt>
                <c:pt idx="329">
                  <c:v>1.231861775331154</c:v>
                </c:pt>
                <c:pt idx="330">
                  <c:v>1.204788835369</c:v>
                </c:pt>
                <c:pt idx="331">
                  <c:v>1.219282212282815</c:v>
                </c:pt>
                <c:pt idx="332">
                  <c:v>1.19340271804576</c:v>
                </c:pt>
                <c:pt idx="333">
                  <c:v>1.247226045071391</c:v>
                </c:pt>
                <c:pt idx="334">
                  <c:v>1.263525718217788</c:v>
                </c:pt>
                <c:pt idx="335">
                  <c:v>1.274514020299329</c:v>
                </c:pt>
                <c:pt idx="336">
                  <c:v>1.234205659728195</c:v>
                </c:pt>
                <c:pt idx="337">
                  <c:v>1.272191639428867</c:v>
                </c:pt>
                <c:pt idx="338">
                  <c:v>1.256644589712713</c:v>
                </c:pt>
                <c:pt idx="339">
                  <c:v>1.255612420436952</c:v>
                </c:pt>
                <c:pt idx="340">
                  <c:v>1.326412781696198</c:v>
                </c:pt>
                <c:pt idx="341">
                  <c:v>1.327939532083262</c:v>
                </c:pt>
                <c:pt idx="342">
                  <c:v>1.33319714433167</c:v>
                </c:pt>
                <c:pt idx="343">
                  <c:v>1.327079391020127</c:v>
                </c:pt>
                <c:pt idx="344">
                  <c:v>1.350077412695682</c:v>
                </c:pt>
                <c:pt idx="345">
                  <c:v>1.351432134870119</c:v>
                </c:pt>
                <c:pt idx="346">
                  <c:v>1.335788319284362</c:v>
                </c:pt>
                <c:pt idx="347">
                  <c:v>1.350851539652503</c:v>
                </c:pt>
                <c:pt idx="348">
                  <c:v>1.345282126268708</c:v>
                </c:pt>
                <c:pt idx="349">
                  <c:v>1.308683124032342</c:v>
                </c:pt>
                <c:pt idx="350">
                  <c:v>1.340852399793566</c:v>
                </c:pt>
                <c:pt idx="351">
                  <c:v>1.312844056425254</c:v>
                </c:pt>
                <c:pt idx="352">
                  <c:v>1.323208756236022</c:v>
                </c:pt>
                <c:pt idx="353">
                  <c:v>1.292867280233958</c:v>
                </c:pt>
                <c:pt idx="354">
                  <c:v>1.302318080165147</c:v>
                </c:pt>
                <c:pt idx="355">
                  <c:v>1.293394116635128</c:v>
                </c:pt>
                <c:pt idx="356">
                  <c:v>1.24567779115775</c:v>
                </c:pt>
                <c:pt idx="357">
                  <c:v>1.330423189403062</c:v>
                </c:pt>
                <c:pt idx="358">
                  <c:v>1.35153965250301</c:v>
                </c:pt>
                <c:pt idx="359">
                  <c:v>1.370462755891966</c:v>
                </c:pt>
                <c:pt idx="360">
                  <c:v>1.355797350765525</c:v>
                </c:pt>
                <c:pt idx="361">
                  <c:v>1.415050318252193</c:v>
                </c:pt>
                <c:pt idx="362">
                  <c:v>1.432081111302254</c:v>
                </c:pt>
                <c:pt idx="363">
                  <c:v>1.430930672630311</c:v>
                </c:pt>
                <c:pt idx="364">
                  <c:v>1.418351109581971</c:v>
                </c:pt>
                <c:pt idx="365">
                  <c:v>1.439575090314812</c:v>
                </c:pt>
                <c:pt idx="366">
                  <c:v>1.441123344228453</c:v>
                </c:pt>
                <c:pt idx="367">
                  <c:v>1.433865904008257</c:v>
                </c:pt>
                <c:pt idx="368">
                  <c:v>1.46933597109926</c:v>
                </c:pt>
                <c:pt idx="369">
                  <c:v>1.45231592981249</c:v>
                </c:pt>
                <c:pt idx="370">
                  <c:v>1.481367194219852</c:v>
                </c:pt>
                <c:pt idx="371">
                  <c:v>1.523675382762773</c:v>
                </c:pt>
                <c:pt idx="372">
                  <c:v>1.541512558059522</c:v>
                </c:pt>
                <c:pt idx="373">
                  <c:v>1.560984001376226</c:v>
                </c:pt>
                <c:pt idx="374">
                  <c:v>1.542652244968175</c:v>
                </c:pt>
                <c:pt idx="375">
                  <c:v>1.56040340615861</c:v>
                </c:pt>
                <c:pt idx="376">
                  <c:v>1.522320660588337</c:v>
                </c:pt>
                <c:pt idx="377">
                  <c:v>1.546082057457423</c:v>
                </c:pt>
                <c:pt idx="378">
                  <c:v>1.53471744366076</c:v>
                </c:pt>
                <c:pt idx="379">
                  <c:v>1.504031911233442</c:v>
                </c:pt>
                <c:pt idx="380">
                  <c:v>1.532943402718046</c:v>
                </c:pt>
                <c:pt idx="381">
                  <c:v>1.568348959229314</c:v>
                </c:pt>
                <c:pt idx="382">
                  <c:v>1.569155341476002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EF-4CC6-87CB-F68BF6D75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7571696"/>
        <c:axId val="-1821313296"/>
      </c:lineChart>
      <c:dateAx>
        <c:axId val="-1727571696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1313296"/>
        <c:crosses val="autoZero"/>
        <c:auto val="1"/>
        <c:lblOffset val="100"/>
        <c:baseTimeUnit val="days"/>
      </c:dateAx>
      <c:valAx>
        <c:axId val="-182131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757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Holdings!$O$30:$O$35</c:f>
              <c:strCache>
                <c:ptCount val="6"/>
                <c:pt idx="0">
                  <c:v>Cash</c:v>
                </c:pt>
                <c:pt idx="1">
                  <c:v>Financial</c:v>
                </c:pt>
                <c:pt idx="2">
                  <c:v>Technology</c:v>
                </c:pt>
                <c:pt idx="3">
                  <c:v>Consumer Discretionary</c:v>
                </c:pt>
                <c:pt idx="4">
                  <c:v>Energy, Industrials, Utilities</c:v>
                </c:pt>
                <c:pt idx="5">
                  <c:v>Healthcare</c:v>
                </c:pt>
              </c:strCache>
            </c:strRef>
          </c:cat>
          <c:val>
            <c:numRef>
              <c:f>Holdings!$Q$30:$Q$35</c:f>
              <c:numCache>
                <c:formatCode>0.00%</c:formatCode>
                <c:ptCount val="6"/>
                <c:pt idx="0">
                  <c:v>0.124037114309722</c:v>
                </c:pt>
                <c:pt idx="1">
                  <c:v>0.392784580264566</c:v>
                </c:pt>
                <c:pt idx="2">
                  <c:v>0.12414383852102</c:v>
                </c:pt>
                <c:pt idx="3">
                  <c:v>0.237971157867901</c:v>
                </c:pt>
                <c:pt idx="4">
                  <c:v>0.121063309036792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'V.P. of PM'!$D$5:$D$16</c:f>
              <c:strCache>
                <c:ptCount val="12"/>
                <c:pt idx="0">
                  <c:v>Cash</c:v>
                </c:pt>
                <c:pt idx="1">
                  <c:v>Bond</c:v>
                </c:pt>
                <c:pt idx="2">
                  <c:v>Consumer Discretionary</c:v>
                </c:pt>
                <c:pt idx="3">
                  <c:v>Consumer Staples</c:v>
                </c:pt>
                <c:pt idx="4">
                  <c:v>Energy</c:v>
                </c:pt>
                <c:pt idx="5">
                  <c:v>Financial</c:v>
                </c:pt>
                <c:pt idx="6">
                  <c:v>Healthcare</c:v>
                </c:pt>
                <c:pt idx="7">
                  <c:v>Industrials</c:v>
                </c:pt>
                <c:pt idx="8">
                  <c:v>Information Technology</c:v>
                </c:pt>
                <c:pt idx="9">
                  <c:v>Materials</c:v>
                </c:pt>
                <c:pt idx="10">
                  <c:v>Telecommunications</c:v>
                </c:pt>
                <c:pt idx="11">
                  <c:v>Utilities</c:v>
                </c:pt>
              </c:strCache>
            </c:strRef>
          </c:cat>
          <c:val>
            <c:numRef>
              <c:f>'V.P. of PM'!$F$5:$F$16</c:f>
              <c:numCache>
                <c:formatCode>0.0%</c:formatCode>
                <c:ptCount val="12"/>
                <c:pt idx="0">
                  <c:v>0.13472456044613</c:v>
                </c:pt>
                <c:pt idx="1">
                  <c:v>0.0</c:v>
                </c:pt>
                <c:pt idx="2">
                  <c:v>0.258475536302417</c:v>
                </c:pt>
                <c:pt idx="3">
                  <c:v>0.0</c:v>
                </c:pt>
                <c:pt idx="4">
                  <c:v>0.0</c:v>
                </c:pt>
                <c:pt idx="5">
                  <c:v>0.426628192865123</c:v>
                </c:pt>
                <c:pt idx="6">
                  <c:v>0.0</c:v>
                </c:pt>
                <c:pt idx="7">
                  <c:v>0.0</c:v>
                </c:pt>
                <c:pt idx="8">
                  <c:v>0.134840480366841</c:v>
                </c:pt>
                <c:pt idx="9">
                  <c:v>0.0</c:v>
                </c:pt>
                <c:pt idx="10">
                  <c:v>0.0</c:v>
                </c:pt>
                <c:pt idx="11">
                  <c:v>0.0453312300194882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01-4948-A7F3-F8FBCF47B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</c:legend>
    <c:plotVisOnly val="1"/>
    <c:dispBlanksAs val="zero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89599377001"/>
          <c:y val="0.256117470943969"/>
          <c:w val="0.798002219755827"/>
          <c:h val="0.5595432300163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  <a:prstDash val="solid"/>
            </a:ln>
          </c:spPr>
          <c:explosion val="12"/>
          <c:dPt>
            <c:idx val="1"/>
            <c:bubble3D val="0"/>
            <c:spPr>
              <a:solidFill>
                <a:srgbClr val="C0504D"/>
              </a:solidFill>
              <a:ln w="3175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A8-48A5-9C1C-841B29F4B62C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3175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A8-48A5-9C1C-841B29F4B62C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3175">
                <a:solidFill>
                  <a:srgbClr val="66669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A8-48A5-9C1C-841B29F4B62C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3175">
                <a:solidFill>
                  <a:srgbClr val="339966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A8-48A5-9C1C-841B29F4B62C}"/>
              </c:ext>
            </c:extLst>
          </c:dPt>
          <c:dLbls>
            <c:dLbl>
              <c:idx val="0"/>
              <c:layout>
                <c:manualLayout>
                  <c:x val="-0.0826933037365897"/>
                  <c:y val="-0.1797758966915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1A8-48A5-9C1C-841B29F4B62C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'V.P. of PM'!$D$30:$D$35</c:f>
              <c:strCache>
                <c:ptCount val="6"/>
                <c:pt idx="0">
                  <c:v>Large</c:v>
                </c:pt>
                <c:pt idx="1">
                  <c:v>Mid</c:v>
                </c:pt>
                <c:pt idx="2">
                  <c:v>Small</c:v>
                </c:pt>
                <c:pt idx="3">
                  <c:v>Bond</c:v>
                </c:pt>
                <c:pt idx="4">
                  <c:v>Option</c:v>
                </c:pt>
                <c:pt idx="5">
                  <c:v>Cash</c:v>
                </c:pt>
              </c:strCache>
            </c:strRef>
          </c:cat>
          <c:val>
            <c:numRef>
              <c:f>'V.P. of PM'!$G$30:$G$35</c:f>
              <c:numCache>
                <c:formatCode>0.0%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1A8-48A5-9C1C-841B29F4B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DCE6F2"/>
    </a:solidFill>
    <a:ln w="3175">
      <a:solidFill>
        <a:srgbClr val="808080"/>
      </a:solidFill>
      <a:prstDash val="solid"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IPO Vs. S&amp;P 500 Capital Appreciation (S1 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IPO</c:v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'2017 S1 Performance'!$A$4:$A$21</c:f>
              <c:numCache>
                <c:formatCode>m/d/yy</c:formatCode>
                <c:ptCount val="18"/>
                <c:pt idx="0">
                  <c:v>42740.0</c:v>
                </c:pt>
                <c:pt idx="1">
                  <c:v>42747.0</c:v>
                </c:pt>
                <c:pt idx="2">
                  <c:v>42754.0</c:v>
                </c:pt>
                <c:pt idx="3">
                  <c:v>42761.0</c:v>
                </c:pt>
                <c:pt idx="4">
                  <c:v>42768.0</c:v>
                </c:pt>
                <c:pt idx="5">
                  <c:v>42775.0</c:v>
                </c:pt>
                <c:pt idx="6">
                  <c:v>42782.0</c:v>
                </c:pt>
                <c:pt idx="7">
                  <c:v>42789.0</c:v>
                </c:pt>
                <c:pt idx="8">
                  <c:v>42796.0</c:v>
                </c:pt>
                <c:pt idx="9">
                  <c:v>42803.0</c:v>
                </c:pt>
                <c:pt idx="10">
                  <c:v>42810.0</c:v>
                </c:pt>
                <c:pt idx="11">
                  <c:v>42817.0</c:v>
                </c:pt>
                <c:pt idx="12">
                  <c:v>42824.0</c:v>
                </c:pt>
                <c:pt idx="13">
                  <c:v>42831.0</c:v>
                </c:pt>
                <c:pt idx="14">
                  <c:v>42838.0</c:v>
                </c:pt>
                <c:pt idx="15">
                  <c:v>42845.0</c:v>
                </c:pt>
                <c:pt idx="16">
                  <c:v>42852.0</c:v>
                </c:pt>
                <c:pt idx="17">
                  <c:v>42859.0</c:v>
                </c:pt>
              </c:numCache>
            </c:numRef>
          </c:cat>
          <c:val>
            <c:numRef>
              <c:f>'2017 S1 Performance'!$E$4:$E$21</c:f>
              <c:numCache>
                <c:formatCode>0.00%</c:formatCode>
                <c:ptCount val="18"/>
                <c:pt idx="0">
                  <c:v>0.00412254867451556</c:v>
                </c:pt>
                <c:pt idx="1">
                  <c:v>0.0107372324895201</c:v>
                </c:pt>
                <c:pt idx="2">
                  <c:v>0.00917451410041592</c:v>
                </c:pt>
                <c:pt idx="3">
                  <c:v>0.0279550840793489</c:v>
                </c:pt>
                <c:pt idx="4">
                  <c:v>0.0183190702369642</c:v>
                </c:pt>
                <c:pt idx="5">
                  <c:v>0.0224080881388304</c:v>
                </c:pt>
                <c:pt idx="6">
                  <c:v>0.038328932581609</c:v>
                </c:pt>
                <c:pt idx="7">
                  <c:v>0.0458673702048449</c:v>
                </c:pt>
                <c:pt idx="8">
                  <c:v>0.0534506460961093</c:v>
                </c:pt>
                <c:pt idx="9">
                  <c:v>0.0448528987551502</c:v>
                </c:pt>
                <c:pt idx="10">
                  <c:v>0.0516161768568832</c:v>
                </c:pt>
                <c:pt idx="11">
                  <c:v>0.0423324919597545</c:v>
                </c:pt>
                <c:pt idx="12">
                  <c:v>0.049278354576495</c:v>
                </c:pt>
                <c:pt idx="13">
                  <c:v>0.0458831904324135</c:v>
                </c:pt>
                <c:pt idx="14">
                  <c:v>0.0347312943675346</c:v>
                </c:pt>
                <c:pt idx="15">
                  <c:v>0.049858420606222</c:v>
                </c:pt>
                <c:pt idx="16">
                  <c:v>0.0731391770205905</c:v>
                </c:pt>
                <c:pt idx="17">
                  <c:v>0.0761300964099059</c:v>
                </c:pt>
              </c:numCache>
            </c:numRef>
          </c:val>
          <c:smooth val="0"/>
        </c:ser>
        <c:ser>
          <c:idx val="1"/>
          <c:order val="1"/>
          <c:tx>
            <c:v>S&amp;P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('2017 S1 Performance'!$F$4:$F$21,'2017 S1 Performance'!$A$4:$A$21)</c:f>
              <c:numCache>
                <c:formatCode>0.00%</c:formatCode>
                <c:ptCount val="36"/>
                <c:pt idx="0">
                  <c:v>0.00877621973449027</c:v>
                </c:pt>
                <c:pt idx="1">
                  <c:v>0.00941086054542017</c:v>
                </c:pt>
                <c:pt idx="2">
                  <c:v>0.00643786852625205</c:v>
                </c:pt>
                <c:pt idx="3">
                  <c:v>0.0210114187915269</c:v>
                </c:pt>
                <c:pt idx="4">
                  <c:v>0.0141188608383075</c:v>
                </c:pt>
                <c:pt idx="5">
                  <c:v>0.0259653215875896</c:v>
                </c:pt>
                <c:pt idx="6">
                  <c:v>0.0430156753770144</c:v>
                </c:pt>
                <c:pt idx="7">
                  <c:v>0.050083611062634</c:v>
                </c:pt>
                <c:pt idx="8">
                  <c:v>0.0577449713242456</c:v>
                </c:pt>
                <c:pt idx="9">
                  <c:v>0.0505868803724083</c:v>
                </c:pt>
                <c:pt idx="10">
                  <c:v>0.0575682366414634</c:v>
                </c:pt>
                <c:pt idx="11">
                  <c:v>0.042694507963134</c:v>
                </c:pt>
                <c:pt idx="12">
                  <c:v>0.052114958439698</c:v>
                </c:pt>
                <c:pt idx="13">
                  <c:v>0.0476513891044615</c:v>
                </c:pt>
                <c:pt idx="14">
                  <c:v>0.0355452932143411</c:v>
                </c:pt>
                <c:pt idx="15">
                  <c:v>0.0470912688686059</c:v>
                </c:pt>
                <c:pt idx="16">
                  <c:v>0.0610692979367938</c:v>
                </c:pt>
                <c:pt idx="17">
                  <c:v>0.0613832670506055</c:v>
                </c:pt>
                <c:pt idx="18" formatCode="m/d/yy">
                  <c:v>42740.0</c:v>
                </c:pt>
                <c:pt idx="19" formatCode="m/d/yy">
                  <c:v>42747.0</c:v>
                </c:pt>
                <c:pt idx="20" formatCode="m/d/yy">
                  <c:v>42754.0</c:v>
                </c:pt>
                <c:pt idx="21" formatCode="m/d/yy">
                  <c:v>42761.0</c:v>
                </c:pt>
                <c:pt idx="22" formatCode="m/d/yy">
                  <c:v>42768.0</c:v>
                </c:pt>
                <c:pt idx="23" formatCode="m/d/yy">
                  <c:v>42775.0</c:v>
                </c:pt>
                <c:pt idx="24" formatCode="m/d/yy">
                  <c:v>42782.0</c:v>
                </c:pt>
                <c:pt idx="25" formatCode="m/d/yy">
                  <c:v>42789.0</c:v>
                </c:pt>
                <c:pt idx="26" formatCode="m/d/yy">
                  <c:v>42796.0</c:v>
                </c:pt>
                <c:pt idx="27" formatCode="m/d/yy">
                  <c:v>42803.0</c:v>
                </c:pt>
                <c:pt idx="28" formatCode="m/d/yy">
                  <c:v>42810.0</c:v>
                </c:pt>
                <c:pt idx="29" formatCode="m/d/yy">
                  <c:v>42817.0</c:v>
                </c:pt>
                <c:pt idx="30" formatCode="m/d/yy">
                  <c:v>42824.0</c:v>
                </c:pt>
                <c:pt idx="31" formatCode="m/d/yy">
                  <c:v>42831.0</c:v>
                </c:pt>
                <c:pt idx="32" formatCode="m/d/yy">
                  <c:v>42838.0</c:v>
                </c:pt>
                <c:pt idx="33" formatCode="m/d/yy">
                  <c:v>42845.0</c:v>
                </c:pt>
                <c:pt idx="34" formatCode="m/d/yy">
                  <c:v>42852.0</c:v>
                </c:pt>
                <c:pt idx="35" formatCode="m/d/yy">
                  <c:v>42859.0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77310240"/>
        <c:axId val="-1763661888"/>
      </c:lineChart>
      <c:dateAx>
        <c:axId val="-177731024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63661888"/>
        <c:crosses val="autoZero"/>
        <c:auto val="1"/>
        <c:lblOffset val="100"/>
        <c:baseTimeUnit val="days"/>
      </c:dateAx>
      <c:valAx>
        <c:axId val="-176366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77310240"/>
        <c:crosses val="autoZero"/>
        <c:crossBetween val="between"/>
        <c:majorUnit val="0.005"/>
        <c:minorUnit val="0.00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Seidman Investment Portfolio Organization Performance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Nov 2007 - Present</a:t>
            </a:r>
          </a:p>
        </c:rich>
      </c:tx>
      <c:layout>
        <c:manualLayout>
          <c:xMode val="edge"/>
          <c:yMode val="edge"/>
          <c:x val="0.238659339457573"/>
          <c:y val="0.02506843523754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91579119261"/>
          <c:y val="0.224832583159513"/>
          <c:w val="0.804030692618068"/>
          <c:h val="0.563759312997004"/>
        </c:manualLayout>
      </c:layout>
      <c:scatterChart>
        <c:scatterStyle val="lineMarker"/>
        <c:varyColors val="0"/>
        <c:ser>
          <c:idx val="0"/>
          <c:order val="0"/>
          <c:tx>
            <c:v>Portfolio Value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Data!$B$195:$B$481</c:f>
              <c:numCache>
                <c:formatCode>m/d/yy</c:formatCode>
                <c:ptCount val="287"/>
                <c:pt idx="0">
                  <c:v>39087.0</c:v>
                </c:pt>
                <c:pt idx="1">
                  <c:v>39094.0</c:v>
                </c:pt>
                <c:pt idx="2">
                  <c:v>39101.0</c:v>
                </c:pt>
                <c:pt idx="3">
                  <c:v>39108.0</c:v>
                </c:pt>
                <c:pt idx="4">
                  <c:v>39115.0</c:v>
                </c:pt>
                <c:pt idx="5">
                  <c:v>39122.0</c:v>
                </c:pt>
                <c:pt idx="6">
                  <c:v>39129.0</c:v>
                </c:pt>
                <c:pt idx="7">
                  <c:v>39136.0</c:v>
                </c:pt>
                <c:pt idx="8">
                  <c:v>39143.0</c:v>
                </c:pt>
                <c:pt idx="9">
                  <c:v>39150.0</c:v>
                </c:pt>
                <c:pt idx="10">
                  <c:v>39157.0</c:v>
                </c:pt>
                <c:pt idx="11">
                  <c:v>39164.0</c:v>
                </c:pt>
                <c:pt idx="12">
                  <c:v>39171.0</c:v>
                </c:pt>
                <c:pt idx="13">
                  <c:v>39178.0</c:v>
                </c:pt>
                <c:pt idx="14">
                  <c:v>39185.0</c:v>
                </c:pt>
                <c:pt idx="15">
                  <c:v>39192.0</c:v>
                </c:pt>
                <c:pt idx="16">
                  <c:v>39199.0</c:v>
                </c:pt>
                <c:pt idx="17">
                  <c:v>39206.0</c:v>
                </c:pt>
                <c:pt idx="18">
                  <c:v>39213.0</c:v>
                </c:pt>
                <c:pt idx="19">
                  <c:v>39220.0</c:v>
                </c:pt>
                <c:pt idx="20">
                  <c:v>39227.0</c:v>
                </c:pt>
                <c:pt idx="21">
                  <c:v>39234.0</c:v>
                </c:pt>
                <c:pt idx="22">
                  <c:v>39241.0</c:v>
                </c:pt>
                <c:pt idx="23">
                  <c:v>39248.0</c:v>
                </c:pt>
                <c:pt idx="24">
                  <c:v>39255.0</c:v>
                </c:pt>
                <c:pt idx="25">
                  <c:v>39262.0</c:v>
                </c:pt>
                <c:pt idx="26">
                  <c:v>39269.0</c:v>
                </c:pt>
                <c:pt idx="27">
                  <c:v>39276.0</c:v>
                </c:pt>
                <c:pt idx="28">
                  <c:v>39283.0</c:v>
                </c:pt>
                <c:pt idx="29">
                  <c:v>39290.0</c:v>
                </c:pt>
                <c:pt idx="30">
                  <c:v>39297.0</c:v>
                </c:pt>
                <c:pt idx="31">
                  <c:v>39304.0</c:v>
                </c:pt>
                <c:pt idx="32">
                  <c:v>39311.0</c:v>
                </c:pt>
                <c:pt idx="33">
                  <c:v>39318.0</c:v>
                </c:pt>
                <c:pt idx="34">
                  <c:v>39325.0</c:v>
                </c:pt>
                <c:pt idx="35">
                  <c:v>39332.0</c:v>
                </c:pt>
                <c:pt idx="36">
                  <c:v>39339.0</c:v>
                </c:pt>
                <c:pt idx="37">
                  <c:v>39346.0</c:v>
                </c:pt>
                <c:pt idx="38">
                  <c:v>39353.0</c:v>
                </c:pt>
                <c:pt idx="39">
                  <c:v>39360.0</c:v>
                </c:pt>
                <c:pt idx="40">
                  <c:v>39367.0</c:v>
                </c:pt>
                <c:pt idx="41">
                  <c:v>39374.0</c:v>
                </c:pt>
                <c:pt idx="42">
                  <c:v>39381.0</c:v>
                </c:pt>
                <c:pt idx="43">
                  <c:v>39388.0</c:v>
                </c:pt>
                <c:pt idx="44">
                  <c:v>39405.0</c:v>
                </c:pt>
                <c:pt idx="45">
                  <c:v>39417.0</c:v>
                </c:pt>
                <c:pt idx="46">
                  <c:v>39438.0</c:v>
                </c:pt>
                <c:pt idx="47">
                  <c:v>39452.0</c:v>
                </c:pt>
                <c:pt idx="48">
                  <c:v>39459.0</c:v>
                </c:pt>
                <c:pt idx="49">
                  <c:v>39466.0</c:v>
                </c:pt>
                <c:pt idx="50">
                  <c:v>39480.0</c:v>
                </c:pt>
                <c:pt idx="51">
                  <c:v>39487.0</c:v>
                </c:pt>
                <c:pt idx="52">
                  <c:v>39496.0</c:v>
                </c:pt>
                <c:pt idx="53">
                  <c:v>39503.0</c:v>
                </c:pt>
                <c:pt idx="54">
                  <c:v>39510.0</c:v>
                </c:pt>
                <c:pt idx="55">
                  <c:v>39517.0</c:v>
                </c:pt>
                <c:pt idx="56">
                  <c:v>39531.0</c:v>
                </c:pt>
                <c:pt idx="57">
                  <c:v>39538.0</c:v>
                </c:pt>
                <c:pt idx="58">
                  <c:v>39549.0</c:v>
                </c:pt>
                <c:pt idx="59">
                  <c:v>39556.0</c:v>
                </c:pt>
                <c:pt idx="60">
                  <c:v>39571.0</c:v>
                </c:pt>
                <c:pt idx="61">
                  <c:v>39585.0</c:v>
                </c:pt>
                <c:pt idx="62">
                  <c:v>39592.0</c:v>
                </c:pt>
                <c:pt idx="63">
                  <c:v>39599.0</c:v>
                </c:pt>
                <c:pt idx="64">
                  <c:v>39606.0</c:v>
                </c:pt>
                <c:pt idx="65">
                  <c:v>39620.0</c:v>
                </c:pt>
                <c:pt idx="66">
                  <c:v>39639.0</c:v>
                </c:pt>
                <c:pt idx="67">
                  <c:v>39646.0</c:v>
                </c:pt>
                <c:pt idx="68">
                  <c:v>39653.0</c:v>
                </c:pt>
                <c:pt idx="69">
                  <c:v>39660.0</c:v>
                </c:pt>
                <c:pt idx="70">
                  <c:v>39667.0</c:v>
                </c:pt>
                <c:pt idx="71">
                  <c:v>39674.0</c:v>
                </c:pt>
                <c:pt idx="72">
                  <c:v>39681.0</c:v>
                </c:pt>
                <c:pt idx="73">
                  <c:v>39688.0</c:v>
                </c:pt>
                <c:pt idx="74">
                  <c:v>39695.0</c:v>
                </c:pt>
                <c:pt idx="75">
                  <c:v>39702.0</c:v>
                </c:pt>
                <c:pt idx="76">
                  <c:v>39709.0</c:v>
                </c:pt>
                <c:pt idx="77">
                  <c:v>39716.0</c:v>
                </c:pt>
                <c:pt idx="78">
                  <c:v>39723.0</c:v>
                </c:pt>
                <c:pt idx="79">
                  <c:v>39730.0</c:v>
                </c:pt>
                <c:pt idx="80">
                  <c:v>39737.0</c:v>
                </c:pt>
                <c:pt idx="81">
                  <c:v>39744.0</c:v>
                </c:pt>
                <c:pt idx="82">
                  <c:v>39751.0</c:v>
                </c:pt>
                <c:pt idx="83">
                  <c:v>39758.0</c:v>
                </c:pt>
                <c:pt idx="84">
                  <c:v>39765.0</c:v>
                </c:pt>
                <c:pt idx="85">
                  <c:v>39772.0</c:v>
                </c:pt>
                <c:pt idx="86">
                  <c:v>39779.0</c:v>
                </c:pt>
                <c:pt idx="87">
                  <c:v>39786.0</c:v>
                </c:pt>
                <c:pt idx="88">
                  <c:v>39793.0</c:v>
                </c:pt>
                <c:pt idx="89">
                  <c:v>39800.0</c:v>
                </c:pt>
                <c:pt idx="90">
                  <c:v>39807.0</c:v>
                </c:pt>
                <c:pt idx="91">
                  <c:v>39814.0</c:v>
                </c:pt>
                <c:pt idx="92">
                  <c:v>39821.0</c:v>
                </c:pt>
                <c:pt idx="93">
                  <c:v>39828.0</c:v>
                </c:pt>
                <c:pt idx="94">
                  <c:v>39835.0</c:v>
                </c:pt>
                <c:pt idx="95">
                  <c:v>39842.0</c:v>
                </c:pt>
                <c:pt idx="96">
                  <c:v>39849.0</c:v>
                </c:pt>
                <c:pt idx="97">
                  <c:v>39856.0</c:v>
                </c:pt>
                <c:pt idx="98">
                  <c:v>39863.0</c:v>
                </c:pt>
                <c:pt idx="99">
                  <c:v>39870.0</c:v>
                </c:pt>
                <c:pt idx="100">
                  <c:v>39877.0</c:v>
                </c:pt>
                <c:pt idx="101">
                  <c:v>39884.0</c:v>
                </c:pt>
                <c:pt idx="102">
                  <c:v>39891.0</c:v>
                </c:pt>
                <c:pt idx="103">
                  <c:v>39898.0</c:v>
                </c:pt>
                <c:pt idx="104">
                  <c:v>39905.0</c:v>
                </c:pt>
                <c:pt idx="105">
                  <c:v>39912.0</c:v>
                </c:pt>
                <c:pt idx="106">
                  <c:v>39919.0</c:v>
                </c:pt>
                <c:pt idx="107">
                  <c:v>39926.0</c:v>
                </c:pt>
                <c:pt idx="108">
                  <c:v>39933.0</c:v>
                </c:pt>
                <c:pt idx="109">
                  <c:v>39940.0</c:v>
                </c:pt>
                <c:pt idx="110">
                  <c:v>39947.0</c:v>
                </c:pt>
                <c:pt idx="111">
                  <c:v>39954.0</c:v>
                </c:pt>
                <c:pt idx="112">
                  <c:v>39961.0</c:v>
                </c:pt>
                <c:pt idx="113">
                  <c:v>39968.0</c:v>
                </c:pt>
                <c:pt idx="114">
                  <c:v>39975.0</c:v>
                </c:pt>
                <c:pt idx="115">
                  <c:v>39982.0</c:v>
                </c:pt>
                <c:pt idx="116">
                  <c:v>39989.0</c:v>
                </c:pt>
                <c:pt idx="117">
                  <c:v>39996.0</c:v>
                </c:pt>
                <c:pt idx="118">
                  <c:v>40003.0</c:v>
                </c:pt>
                <c:pt idx="119">
                  <c:v>40010.0</c:v>
                </c:pt>
                <c:pt idx="120">
                  <c:v>40017.0</c:v>
                </c:pt>
                <c:pt idx="121">
                  <c:v>40024.0</c:v>
                </c:pt>
                <c:pt idx="122">
                  <c:v>40031.0</c:v>
                </c:pt>
                <c:pt idx="123">
                  <c:v>40038.0</c:v>
                </c:pt>
                <c:pt idx="124">
                  <c:v>40045.0</c:v>
                </c:pt>
                <c:pt idx="125">
                  <c:v>40052.0</c:v>
                </c:pt>
                <c:pt idx="126">
                  <c:v>40059.0</c:v>
                </c:pt>
                <c:pt idx="127">
                  <c:v>40066.0</c:v>
                </c:pt>
                <c:pt idx="128">
                  <c:v>40073.0</c:v>
                </c:pt>
                <c:pt idx="129">
                  <c:v>40080.0</c:v>
                </c:pt>
                <c:pt idx="130">
                  <c:v>40087.0</c:v>
                </c:pt>
                <c:pt idx="131">
                  <c:v>40094.0</c:v>
                </c:pt>
                <c:pt idx="132">
                  <c:v>40101.0</c:v>
                </c:pt>
                <c:pt idx="133">
                  <c:v>40108.0</c:v>
                </c:pt>
                <c:pt idx="134">
                  <c:v>40115.0</c:v>
                </c:pt>
                <c:pt idx="135">
                  <c:v>40122.0</c:v>
                </c:pt>
                <c:pt idx="136">
                  <c:v>40129.0</c:v>
                </c:pt>
                <c:pt idx="137">
                  <c:v>40136.0</c:v>
                </c:pt>
                <c:pt idx="138">
                  <c:v>40143.0</c:v>
                </c:pt>
                <c:pt idx="139">
                  <c:v>40150.0</c:v>
                </c:pt>
                <c:pt idx="140">
                  <c:v>40157.0</c:v>
                </c:pt>
                <c:pt idx="141">
                  <c:v>40164.0</c:v>
                </c:pt>
                <c:pt idx="142">
                  <c:v>40171.0</c:v>
                </c:pt>
                <c:pt idx="143">
                  <c:v>40178.0</c:v>
                </c:pt>
                <c:pt idx="144">
                  <c:v>40185.0</c:v>
                </c:pt>
                <c:pt idx="145">
                  <c:v>40192.0</c:v>
                </c:pt>
                <c:pt idx="146">
                  <c:v>40199.0</c:v>
                </c:pt>
                <c:pt idx="147">
                  <c:v>40206.0</c:v>
                </c:pt>
                <c:pt idx="148">
                  <c:v>40213.0</c:v>
                </c:pt>
                <c:pt idx="149">
                  <c:v>40220.0</c:v>
                </c:pt>
                <c:pt idx="150">
                  <c:v>40227.0</c:v>
                </c:pt>
                <c:pt idx="151">
                  <c:v>40234.0</c:v>
                </c:pt>
                <c:pt idx="152">
                  <c:v>40241.0</c:v>
                </c:pt>
                <c:pt idx="153">
                  <c:v>40248.0</c:v>
                </c:pt>
                <c:pt idx="154">
                  <c:v>40255.0</c:v>
                </c:pt>
                <c:pt idx="155">
                  <c:v>40262.0</c:v>
                </c:pt>
                <c:pt idx="156">
                  <c:v>40269.0</c:v>
                </c:pt>
                <c:pt idx="157">
                  <c:v>40276.0</c:v>
                </c:pt>
                <c:pt idx="158">
                  <c:v>40283.0</c:v>
                </c:pt>
                <c:pt idx="159">
                  <c:v>40290.0</c:v>
                </c:pt>
                <c:pt idx="160">
                  <c:v>40297.0</c:v>
                </c:pt>
                <c:pt idx="161">
                  <c:v>40304.0</c:v>
                </c:pt>
                <c:pt idx="162">
                  <c:v>40311.0</c:v>
                </c:pt>
                <c:pt idx="163">
                  <c:v>40318.0</c:v>
                </c:pt>
                <c:pt idx="164">
                  <c:v>40325.0</c:v>
                </c:pt>
                <c:pt idx="165">
                  <c:v>40332.0</c:v>
                </c:pt>
                <c:pt idx="166">
                  <c:v>40339.0</c:v>
                </c:pt>
                <c:pt idx="167">
                  <c:v>40346.0</c:v>
                </c:pt>
                <c:pt idx="168">
                  <c:v>40353.0</c:v>
                </c:pt>
                <c:pt idx="169">
                  <c:v>40360.0</c:v>
                </c:pt>
                <c:pt idx="170">
                  <c:v>40367.0</c:v>
                </c:pt>
                <c:pt idx="171">
                  <c:v>40374.0</c:v>
                </c:pt>
                <c:pt idx="172">
                  <c:v>40381.0</c:v>
                </c:pt>
                <c:pt idx="173">
                  <c:v>40388.0</c:v>
                </c:pt>
                <c:pt idx="174">
                  <c:v>40395.0</c:v>
                </c:pt>
                <c:pt idx="175">
                  <c:v>40402.0</c:v>
                </c:pt>
                <c:pt idx="176">
                  <c:v>40409.0</c:v>
                </c:pt>
                <c:pt idx="177">
                  <c:v>40416.0</c:v>
                </c:pt>
                <c:pt idx="178">
                  <c:v>40423.0</c:v>
                </c:pt>
                <c:pt idx="179">
                  <c:v>40430.0</c:v>
                </c:pt>
                <c:pt idx="180">
                  <c:v>40437.0</c:v>
                </c:pt>
                <c:pt idx="181">
                  <c:v>40444.0</c:v>
                </c:pt>
                <c:pt idx="182">
                  <c:v>40451.0</c:v>
                </c:pt>
                <c:pt idx="183">
                  <c:v>40458.0</c:v>
                </c:pt>
                <c:pt idx="184">
                  <c:v>40465.0</c:v>
                </c:pt>
                <c:pt idx="185">
                  <c:v>40472.0</c:v>
                </c:pt>
                <c:pt idx="186">
                  <c:v>40479.0</c:v>
                </c:pt>
                <c:pt idx="187">
                  <c:v>40486.0</c:v>
                </c:pt>
                <c:pt idx="188">
                  <c:v>40493.0</c:v>
                </c:pt>
                <c:pt idx="189">
                  <c:v>40500.0</c:v>
                </c:pt>
                <c:pt idx="190">
                  <c:v>40507.0</c:v>
                </c:pt>
                <c:pt idx="191">
                  <c:v>40514.0</c:v>
                </c:pt>
                <c:pt idx="192">
                  <c:v>40521.0</c:v>
                </c:pt>
                <c:pt idx="193">
                  <c:v>40528.0</c:v>
                </c:pt>
                <c:pt idx="194">
                  <c:v>40535.0</c:v>
                </c:pt>
                <c:pt idx="195">
                  <c:v>40542.0</c:v>
                </c:pt>
                <c:pt idx="196">
                  <c:v>40549.0</c:v>
                </c:pt>
                <c:pt idx="197">
                  <c:v>40556.0</c:v>
                </c:pt>
                <c:pt idx="198">
                  <c:v>40563.0</c:v>
                </c:pt>
                <c:pt idx="199">
                  <c:v>40570.0</c:v>
                </c:pt>
                <c:pt idx="200">
                  <c:v>40577.0</c:v>
                </c:pt>
                <c:pt idx="201">
                  <c:v>40584.0</c:v>
                </c:pt>
                <c:pt idx="202">
                  <c:v>40591.0</c:v>
                </c:pt>
                <c:pt idx="203">
                  <c:v>40598.0</c:v>
                </c:pt>
                <c:pt idx="204">
                  <c:v>40605.0</c:v>
                </c:pt>
                <c:pt idx="205">
                  <c:v>40612.0</c:v>
                </c:pt>
                <c:pt idx="206">
                  <c:v>40619.0</c:v>
                </c:pt>
                <c:pt idx="207">
                  <c:v>40626.0</c:v>
                </c:pt>
                <c:pt idx="208">
                  <c:v>40633.0</c:v>
                </c:pt>
                <c:pt idx="209">
                  <c:v>40640.0</c:v>
                </c:pt>
                <c:pt idx="210">
                  <c:v>40647.0</c:v>
                </c:pt>
                <c:pt idx="211">
                  <c:v>40654.0</c:v>
                </c:pt>
                <c:pt idx="212">
                  <c:v>40661.0</c:v>
                </c:pt>
                <c:pt idx="213">
                  <c:v>40668.0</c:v>
                </c:pt>
                <c:pt idx="214">
                  <c:v>40675.0</c:v>
                </c:pt>
                <c:pt idx="215">
                  <c:v>40682.0</c:v>
                </c:pt>
                <c:pt idx="216">
                  <c:v>40689.0</c:v>
                </c:pt>
                <c:pt idx="217">
                  <c:v>40696.0</c:v>
                </c:pt>
                <c:pt idx="218">
                  <c:v>40703.0</c:v>
                </c:pt>
                <c:pt idx="219">
                  <c:v>40710.0</c:v>
                </c:pt>
                <c:pt idx="220">
                  <c:v>40717.0</c:v>
                </c:pt>
                <c:pt idx="221">
                  <c:v>40724.0</c:v>
                </c:pt>
                <c:pt idx="222">
                  <c:v>40731.0</c:v>
                </c:pt>
                <c:pt idx="223">
                  <c:v>40738.0</c:v>
                </c:pt>
                <c:pt idx="224">
                  <c:v>40745.0</c:v>
                </c:pt>
                <c:pt idx="225">
                  <c:v>40752.0</c:v>
                </c:pt>
                <c:pt idx="226">
                  <c:v>40759.0</c:v>
                </c:pt>
                <c:pt idx="227">
                  <c:v>40766.0</c:v>
                </c:pt>
                <c:pt idx="228">
                  <c:v>40773.0</c:v>
                </c:pt>
                <c:pt idx="229">
                  <c:v>40780.0</c:v>
                </c:pt>
                <c:pt idx="230">
                  <c:v>40787.0</c:v>
                </c:pt>
                <c:pt idx="231">
                  <c:v>40794.0</c:v>
                </c:pt>
                <c:pt idx="232">
                  <c:v>40801.0</c:v>
                </c:pt>
                <c:pt idx="233">
                  <c:v>40808.0</c:v>
                </c:pt>
                <c:pt idx="234">
                  <c:v>40815.0</c:v>
                </c:pt>
                <c:pt idx="235">
                  <c:v>40822.0</c:v>
                </c:pt>
                <c:pt idx="236">
                  <c:v>40829.0</c:v>
                </c:pt>
                <c:pt idx="237">
                  <c:v>40836.0</c:v>
                </c:pt>
                <c:pt idx="238">
                  <c:v>40843.0</c:v>
                </c:pt>
                <c:pt idx="239">
                  <c:v>40850.0</c:v>
                </c:pt>
                <c:pt idx="240">
                  <c:v>40857.0</c:v>
                </c:pt>
                <c:pt idx="241">
                  <c:v>40864.0</c:v>
                </c:pt>
                <c:pt idx="242">
                  <c:v>40871.0</c:v>
                </c:pt>
                <c:pt idx="243">
                  <c:v>40878.0</c:v>
                </c:pt>
                <c:pt idx="244">
                  <c:v>40885.0</c:v>
                </c:pt>
                <c:pt idx="245">
                  <c:v>40892.0</c:v>
                </c:pt>
                <c:pt idx="246">
                  <c:v>40899.0</c:v>
                </c:pt>
                <c:pt idx="247">
                  <c:v>40906.0</c:v>
                </c:pt>
                <c:pt idx="248">
                  <c:v>40913.0</c:v>
                </c:pt>
                <c:pt idx="249">
                  <c:v>40920.0</c:v>
                </c:pt>
                <c:pt idx="250">
                  <c:v>40927.0</c:v>
                </c:pt>
                <c:pt idx="251">
                  <c:v>40934.0</c:v>
                </c:pt>
                <c:pt idx="252">
                  <c:v>40941.0</c:v>
                </c:pt>
                <c:pt idx="253">
                  <c:v>40948.0</c:v>
                </c:pt>
                <c:pt idx="254">
                  <c:v>40955.0</c:v>
                </c:pt>
                <c:pt idx="255">
                  <c:v>40962.0</c:v>
                </c:pt>
                <c:pt idx="256">
                  <c:v>40969.0</c:v>
                </c:pt>
                <c:pt idx="257">
                  <c:v>40976.0</c:v>
                </c:pt>
                <c:pt idx="258">
                  <c:v>40983.0</c:v>
                </c:pt>
                <c:pt idx="259">
                  <c:v>40990.0</c:v>
                </c:pt>
                <c:pt idx="260">
                  <c:v>40997.0</c:v>
                </c:pt>
                <c:pt idx="261">
                  <c:v>41004.0</c:v>
                </c:pt>
                <c:pt idx="262">
                  <c:v>41011.0</c:v>
                </c:pt>
                <c:pt idx="263">
                  <c:v>41018.0</c:v>
                </c:pt>
                <c:pt idx="264">
                  <c:v>41025.0</c:v>
                </c:pt>
                <c:pt idx="265">
                  <c:v>41032.0</c:v>
                </c:pt>
                <c:pt idx="266">
                  <c:v>41039.0</c:v>
                </c:pt>
                <c:pt idx="267">
                  <c:v>41046.0</c:v>
                </c:pt>
                <c:pt idx="268">
                  <c:v>41053.0</c:v>
                </c:pt>
                <c:pt idx="269">
                  <c:v>41060.0</c:v>
                </c:pt>
                <c:pt idx="270">
                  <c:v>41067.0</c:v>
                </c:pt>
                <c:pt idx="271">
                  <c:v>41074.0</c:v>
                </c:pt>
                <c:pt idx="272">
                  <c:v>41081.0</c:v>
                </c:pt>
                <c:pt idx="273">
                  <c:v>41088.0</c:v>
                </c:pt>
                <c:pt idx="274">
                  <c:v>41095.0</c:v>
                </c:pt>
                <c:pt idx="275">
                  <c:v>41102.0</c:v>
                </c:pt>
                <c:pt idx="276">
                  <c:v>41109.0</c:v>
                </c:pt>
                <c:pt idx="277">
                  <c:v>41116.0</c:v>
                </c:pt>
                <c:pt idx="278">
                  <c:v>41123.0</c:v>
                </c:pt>
                <c:pt idx="279">
                  <c:v>41130.0</c:v>
                </c:pt>
                <c:pt idx="280">
                  <c:v>41137.0</c:v>
                </c:pt>
                <c:pt idx="281">
                  <c:v>41144.0</c:v>
                </c:pt>
                <c:pt idx="282">
                  <c:v>41151.0</c:v>
                </c:pt>
                <c:pt idx="283">
                  <c:v>41158.0</c:v>
                </c:pt>
                <c:pt idx="284">
                  <c:v>41165.0</c:v>
                </c:pt>
                <c:pt idx="285">
                  <c:v>41172.0</c:v>
                </c:pt>
                <c:pt idx="286">
                  <c:v>41179.0</c:v>
                </c:pt>
              </c:numCache>
            </c:numRef>
          </c:xVal>
          <c:yVal>
            <c:numRef>
              <c:f>Data!$D$195:$D$481</c:f>
              <c:numCache>
                <c:formatCode>#,##0.00_);[Red]\(#,##0.00\)</c:formatCode>
                <c:ptCount val="287"/>
                <c:pt idx="0">
                  <c:v>34614.0</c:v>
                </c:pt>
                <c:pt idx="1">
                  <c:v>34615.0</c:v>
                </c:pt>
                <c:pt idx="2">
                  <c:v>34616.0</c:v>
                </c:pt>
                <c:pt idx="3">
                  <c:v>33961.0</c:v>
                </c:pt>
                <c:pt idx="4">
                  <c:v>33962.0</c:v>
                </c:pt>
                <c:pt idx="5">
                  <c:v>33963.0</c:v>
                </c:pt>
                <c:pt idx="6">
                  <c:v>33964.0</c:v>
                </c:pt>
                <c:pt idx="7">
                  <c:v>32963.0</c:v>
                </c:pt>
                <c:pt idx="8">
                  <c:v>32964.0</c:v>
                </c:pt>
                <c:pt idx="9">
                  <c:v>32965.0</c:v>
                </c:pt>
                <c:pt idx="10">
                  <c:v>32966.0</c:v>
                </c:pt>
                <c:pt idx="11">
                  <c:v>32967.0</c:v>
                </c:pt>
                <c:pt idx="12">
                  <c:v>33284.0</c:v>
                </c:pt>
                <c:pt idx="13">
                  <c:v>33285.0</c:v>
                </c:pt>
                <c:pt idx="14">
                  <c:v>33286.0</c:v>
                </c:pt>
                <c:pt idx="15">
                  <c:v>33287.0</c:v>
                </c:pt>
                <c:pt idx="16">
                  <c:v>34908.0</c:v>
                </c:pt>
                <c:pt idx="17">
                  <c:v>34909.0</c:v>
                </c:pt>
                <c:pt idx="18">
                  <c:v>34910.0</c:v>
                </c:pt>
                <c:pt idx="19">
                  <c:v>34911.0</c:v>
                </c:pt>
                <c:pt idx="20">
                  <c:v>35654.0</c:v>
                </c:pt>
                <c:pt idx="21">
                  <c:v>35654.0</c:v>
                </c:pt>
                <c:pt idx="22">
                  <c:v>35654.0</c:v>
                </c:pt>
                <c:pt idx="23">
                  <c:v>35654.0</c:v>
                </c:pt>
                <c:pt idx="24">
                  <c:v>35654.0</c:v>
                </c:pt>
                <c:pt idx="25">
                  <c:v>36359.0</c:v>
                </c:pt>
                <c:pt idx="26">
                  <c:v>36360.0</c:v>
                </c:pt>
                <c:pt idx="27">
                  <c:v>36361.0</c:v>
                </c:pt>
                <c:pt idx="28">
                  <c:v>36362.0</c:v>
                </c:pt>
                <c:pt idx="29">
                  <c:v>36576.0</c:v>
                </c:pt>
                <c:pt idx="30">
                  <c:v>36577.0</c:v>
                </c:pt>
                <c:pt idx="31">
                  <c:v>36578.0</c:v>
                </c:pt>
                <c:pt idx="32">
                  <c:v>36579.0</c:v>
                </c:pt>
                <c:pt idx="33">
                  <c:v>36580.0</c:v>
                </c:pt>
                <c:pt idx="34">
                  <c:v>37382.0</c:v>
                </c:pt>
                <c:pt idx="35">
                  <c:v>37383.0</c:v>
                </c:pt>
                <c:pt idx="36">
                  <c:v>37384.0</c:v>
                </c:pt>
                <c:pt idx="37">
                  <c:v>37385.0</c:v>
                </c:pt>
                <c:pt idx="38">
                  <c:v>39566.0</c:v>
                </c:pt>
                <c:pt idx="39">
                  <c:v>39567.0</c:v>
                </c:pt>
                <c:pt idx="40">
                  <c:v>39568.0</c:v>
                </c:pt>
                <c:pt idx="41">
                  <c:v>39456.0</c:v>
                </c:pt>
                <c:pt idx="42">
                  <c:v>39456.0</c:v>
                </c:pt>
                <c:pt idx="43">
                  <c:v>39000.0</c:v>
                </c:pt>
                <c:pt idx="44">
                  <c:v>38500.0</c:v>
                </c:pt>
                <c:pt idx="45">
                  <c:v>37514.0</c:v>
                </c:pt>
                <c:pt idx="46">
                  <c:v>37126.52</c:v>
                </c:pt>
                <c:pt idx="47">
                  <c:v>38985.0</c:v>
                </c:pt>
                <c:pt idx="48">
                  <c:v>36905.0</c:v>
                </c:pt>
                <c:pt idx="49">
                  <c:v>34854.0</c:v>
                </c:pt>
                <c:pt idx="50">
                  <c:v>37182.0</c:v>
                </c:pt>
                <c:pt idx="51">
                  <c:v>35617.0</c:v>
                </c:pt>
                <c:pt idx="52">
                  <c:v>36144.0</c:v>
                </c:pt>
                <c:pt idx="53">
                  <c:v>36808.0</c:v>
                </c:pt>
                <c:pt idx="54">
                  <c:v>34347.0</c:v>
                </c:pt>
                <c:pt idx="55">
                  <c:v>34818.0</c:v>
                </c:pt>
                <c:pt idx="56">
                  <c:v>36465.0</c:v>
                </c:pt>
                <c:pt idx="57">
                  <c:v>35855.0</c:v>
                </c:pt>
                <c:pt idx="58">
                  <c:v>36287.0</c:v>
                </c:pt>
                <c:pt idx="59">
                  <c:v>37282.0</c:v>
                </c:pt>
                <c:pt idx="60">
                  <c:v>38672.0</c:v>
                </c:pt>
                <c:pt idx="61">
                  <c:v>38529.0</c:v>
                </c:pt>
                <c:pt idx="62">
                  <c:v>37819.0</c:v>
                </c:pt>
                <c:pt idx="63">
                  <c:v>38670.0</c:v>
                </c:pt>
                <c:pt idx="64">
                  <c:v>37675.0</c:v>
                </c:pt>
                <c:pt idx="65">
                  <c:v>36796.0</c:v>
                </c:pt>
                <c:pt idx="66">
                  <c:v>35862.0</c:v>
                </c:pt>
                <c:pt idx="67">
                  <c:v>36001.45</c:v>
                </c:pt>
                <c:pt idx="68">
                  <c:v>36045.23</c:v>
                </c:pt>
                <c:pt idx="69">
                  <c:v>37261.08</c:v>
                </c:pt>
                <c:pt idx="70">
                  <c:v>37004.27</c:v>
                </c:pt>
                <c:pt idx="71">
                  <c:v>36843.94</c:v>
                </c:pt>
                <c:pt idx="72">
                  <c:v>36990.07</c:v>
                </c:pt>
                <c:pt idx="73">
                  <c:v>36245.36</c:v>
                </c:pt>
                <c:pt idx="74">
                  <c:v>35105.05</c:v>
                </c:pt>
                <c:pt idx="75">
                  <c:v>35100.04</c:v>
                </c:pt>
                <c:pt idx="76">
                  <c:v>34052.67</c:v>
                </c:pt>
                <c:pt idx="77">
                  <c:v>34576.71</c:v>
                </c:pt>
                <c:pt idx="78">
                  <c:v>32170.22</c:v>
                </c:pt>
                <c:pt idx="79">
                  <c:v>26110.18</c:v>
                </c:pt>
                <c:pt idx="80">
                  <c:v>27300.0</c:v>
                </c:pt>
                <c:pt idx="81">
                  <c:v>26069.88</c:v>
                </c:pt>
                <c:pt idx="82">
                  <c:v>26893.04</c:v>
                </c:pt>
                <c:pt idx="83">
                  <c:v>26651.17</c:v>
                </c:pt>
                <c:pt idx="84">
                  <c:v>26342.12</c:v>
                </c:pt>
                <c:pt idx="85">
                  <c:v>26129.34</c:v>
                </c:pt>
                <c:pt idx="86">
                  <c:v>25639.75</c:v>
                </c:pt>
                <c:pt idx="87">
                  <c:v>25732.83</c:v>
                </c:pt>
                <c:pt idx="88">
                  <c:v>25901.23</c:v>
                </c:pt>
                <c:pt idx="89">
                  <c:v>26105.83</c:v>
                </c:pt>
                <c:pt idx="90">
                  <c:v>25998.34</c:v>
                </c:pt>
                <c:pt idx="91">
                  <c:v>26188.93</c:v>
                </c:pt>
                <c:pt idx="92">
                  <c:v>25940.33</c:v>
                </c:pt>
                <c:pt idx="93">
                  <c:v>24993.23</c:v>
                </c:pt>
                <c:pt idx="94">
                  <c:v>23370.76</c:v>
                </c:pt>
                <c:pt idx="95">
                  <c:v>23715.0</c:v>
                </c:pt>
                <c:pt idx="96">
                  <c:v>24215.34</c:v>
                </c:pt>
                <c:pt idx="97">
                  <c:v>23485.34</c:v>
                </c:pt>
                <c:pt idx="98">
                  <c:v>23456.23</c:v>
                </c:pt>
                <c:pt idx="99">
                  <c:v>22009.78</c:v>
                </c:pt>
                <c:pt idx="100">
                  <c:v>21345.55</c:v>
                </c:pt>
                <c:pt idx="101">
                  <c:v>21372.64</c:v>
                </c:pt>
                <c:pt idx="102">
                  <c:v>22311.34</c:v>
                </c:pt>
                <c:pt idx="103">
                  <c:v>23910.4</c:v>
                </c:pt>
                <c:pt idx="104">
                  <c:v>22974.08</c:v>
                </c:pt>
                <c:pt idx="105">
                  <c:v>25554.93</c:v>
                </c:pt>
                <c:pt idx="106">
                  <c:v>26045.54</c:v>
                </c:pt>
                <c:pt idx="107">
                  <c:v>25650.22</c:v>
                </c:pt>
                <c:pt idx="108">
                  <c:v>26697.82</c:v>
                </c:pt>
                <c:pt idx="109">
                  <c:v>27393.79</c:v>
                </c:pt>
                <c:pt idx="110">
                  <c:v>26900.745</c:v>
                </c:pt>
                <c:pt idx="111">
                  <c:v>27277.64</c:v>
                </c:pt>
                <c:pt idx="112">
                  <c:v>27585.62</c:v>
                </c:pt>
                <c:pt idx="113">
                  <c:v>28232.87</c:v>
                </c:pt>
                <c:pt idx="114">
                  <c:v>30020.61</c:v>
                </c:pt>
                <c:pt idx="115">
                  <c:v>28299.49</c:v>
                </c:pt>
                <c:pt idx="116">
                  <c:v>28207.85</c:v>
                </c:pt>
                <c:pt idx="117">
                  <c:v>28313.53</c:v>
                </c:pt>
                <c:pt idx="118">
                  <c:v>26996.0</c:v>
                </c:pt>
                <c:pt idx="119">
                  <c:v>28677.91</c:v>
                </c:pt>
                <c:pt idx="120">
                  <c:v>29702.58</c:v>
                </c:pt>
                <c:pt idx="121">
                  <c:v>29917.36</c:v>
                </c:pt>
                <c:pt idx="122">
                  <c:v>30051.04</c:v>
                </c:pt>
                <c:pt idx="123">
                  <c:v>30831.17</c:v>
                </c:pt>
                <c:pt idx="124">
                  <c:v>30445.3613</c:v>
                </c:pt>
                <c:pt idx="125">
                  <c:v>30705.94</c:v>
                </c:pt>
                <c:pt idx="126">
                  <c:v>30696.06</c:v>
                </c:pt>
                <c:pt idx="127">
                  <c:v>31817.5</c:v>
                </c:pt>
                <c:pt idx="128">
                  <c:v>32359.07797</c:v>
                </c:pt>
                <c:pt idx="129">
                  <c:v>31627.79</c:v>
                </c:pt>
                <c:pt idx="130">
                  <c:v>31130.51</c:v>
                </c:pt>
                <c:pt idx="131">
                  <c:v>32453.32</c:v>
                </c:pt>
                <c:pt idx="132">
                  <c:v>33222.78</c:v>
                </c:pt>
                <c:pt idx="133">
                  <c:v>32919.43</c:v>
                </c:pt>
                <c:pt idx="134">
                  <c:v>32396.96</c:v>
                </c:pt>
                <c:pt idx="135">
                  <c:v>32628.34</c:v>
                </c:pt>
                <c:pt idx="136">
                  <c:v>32834.63</c:v>
                </c:pt>
                <c:pt idx="137">
                  <c:v>32940.58</c:v>
                </c:pt>
                <c:pt idx="138">
                  <c:v>33162.88</c:v>
                </c:pt>
                <c:pt idx="139">
                  <c:v>33422.09857</c:v>
                </c:pt>
                <c:pt idx="140">
                  <c:v>33495.21</c:v>
                </c:pt>
                <c:pt idx="141">
                  <c:v>33398.01</c:v>
                </c:pt>
                <c:pt idx="142">
                  <c:v>34192.7128</c:v>
                </c:pt>
                <c:pt idx="143">
                  <c:v>33849.14152</c:v>
                </c:pt>
                <c:pt idx="144">
                  <c:v>35157.93594</c:v>
                </c:pt>
                <c:pt idx="145">
                  <c:v>35455.55714</c:v>
                </c:pt>
                <c:pt idx="146">
                  <c:v>34627.90608</c:v>
                </c:pt>
                <c:pt idx="147">
                  <c:v>32454.97443</c:v>
                </c:pt>
                <c:pt idx="148">
                  <c:v>33004.63</c:v>
                </c:pt>
                <c:pt idx="149">
                  <c:v>33973.98</c:v>
                </c:pt>
                <c:pt idx="150">
                  <c:v>33604.75571</c:v>
                </c:pt>
                <c:pt idx="151">
                  <c:v>34286.93225091301</c:v>
                </c:pt>
                <c:pt idx="152">
                  <c:v>34631.42918818475</c:v>
                </c:pt>
                <c:pt idx="153">
                  <c:v>34975.9261254565</c:v>
                </c:pt>
                <c:pt idx="154">
                  <c:v>35320.42306272824</c:v>
                </c:pt>
                <c:pt idx="155">
                  <c:v>35664.92</c:v>
                </c:pt>
                <c:pt idx="156">
                  <c:v>35949.42005</c:v>
                </c:pt>
                <c:pt idx="157">
                  <c:v>36168.23</c:v>
                </c:pt>
                <c:pt idx="158">
                  <c:v>37170.08997100001</c:v>
                </c:pt>
                <c:pt idx="159">
                  <c:v>37247.84058</c:v>
                </c:pt>
                <c:pt idx="160">
                  <c:v>36157.85171</c:v>
                </c:pt>
                <c:pt idx="161">
                  <c:v>33356.87812</c:v>
                </c:pt>
                <c:pt idx="162">
                  <c:v>34501.65</c:v>
                </c:pt>
                <c:pt idx="163">
                  <c:v>33668.19</c:v>
                </c:pt>
                <c:pt idx="164">
                  <c:v>32834.72</c:v>
                </c:pt>
                <c:pt idx="165">
                  <c:v>32063.09996</c:v>
                </c:pt>
                <c:pt idx="166">
                  <c:v>32851.9</c:v>
                </c:pt>
                <c:pt idx="167">
                  <c:v>33571.41</c:v>
                </c:pt>
                <c:pt idx="168">
                  <c:v>32212.51208</c:v>
                </c:pt>
                <c:pt idx="169">
                  <c:v>32373.98793</c:v>
                </c:pt>
                <c:pt idx="170">
                  <c:v>32912.16445</c:v>
                </c:pt>
                <c:pt idx="171">
                  <c:v>33023.5027</c:v>
                </c:pt>
                <c:pt idx="172">
                  <c:v>33186.4881</c:v>
                </c:pt>
                <c:pt idx="173">
                  <c:v>33760.09182</c:v>
                </c:pt>
                <c:pt idx="174">
                  <c:v>32915.92</c:v>
                </c:pt>
                <c:pt idx="175">
                  <c:v>32071.74</c:v>
                </c:pt>
                <c:pt idx="176">
                  <c:v>31227.56872</c:v>
                </c:pt>
                <c:pt idx="177">
                  <c:v>33051.66921</c:v>
                </c:pt>
                <c:pt idx="178">
                  <c:v>32880.08365</c:v>
                </c:pt>
                <c:pt idx="179">
                  <c:v>33162.7772</c:v>
                </c:pt>
                <c:pt idx="180">
                  <c:v>32802.64146</c:v>
                </c:pt>
                <c:pt idx="181">
                  <c:v>33327.52724</c:v>
                </c:pt>
                <c:pt idx="182">
                  <c:v>33500.40053</c:v>
                </c:pt>
                <c:pt idx="183">
                  <c:v>34145.30171</c:v>
                </c:pt>
                <c:pt idx="184">
                  <c:v>34360.59813</c:v>
                </c:pt>
                <c:pt idx="185">
                  <c:v>34100.0</c:v>
                </c:pt>
                <c:pt idx="186">
                  <c:v>33992.56202</c:v>
                </c:pt>
                <c:pt idx="187">
                  <c:v>36656.45955</c:v>
                </c:pt>
                <c:pt idx="188">
                  <c:v>36870.67611</c:v>
                </c:pt>
                <c:pt idx="189">
                  <c:v>36840.0</c:v>
                </c:pt>
                <c:pt idx="190">
                  <c:v>36804.23980999998</c:v>
                </c:pt>
                <c:pt idx="191">
                  <c:v>36910.52980999998</c:v>
                </c:pt>
                <c:pt idx="192">
                  <c:v>37016.81980999998</c:v>
                </c:pt>
                <c:pt idx="193">
                  <c:v>37123.10980999998</c:v>
                </c:pt>
                <c:pt idx="194">
                  <c:v>37229.40754</c:v>
                </c:pt>
                <c:pt idx="195">
                  <c:v>37326.93284</c:v>
                </c:pt>
                <c:pt idx="196">
                  <c:v>37814.24946</c:v>
                </c:pt>
                <c:pt idx="197">
                  <c:v>38481.0</c:v>
                </c:pt>
                <c:pt idx="198">
                  <c:v>38183.15665</c:v>
                </c:pt>
                <c:pt idx="199">
                  <c:v>38492.45328</c:v>
                </c:pt>
                <c:pt idx="200">
                  <c:v>39204.41908</c:v>
                </c:pt>
                <c:pt idx="201">
                  <c:v>38995.91</c:v>
                </c:pt>
                <c:pt idx="202">
                  <c:v>38765.40815</c:v>
                </c:pt>
                <c:pt idx="203">
                  <c:v>38790.81</c:v>
                </c:pt>
                <c:pt idx="204">
                  <c:v>38940.10408</c:v>
                </c:pt>
                <c:pt idx="205">
                  <c:v>38670.83328</c:v>
                </c:pt>
                <c:pt idx="206">
                  <c:v>37859.99112999999</c:v>
                </c:pt>
                <c:pt idx="207">
                  <c:v>39005.86471</c:v>
                </c:pt>
                <c:pt idx="208">
                  <c:v>39920.1378</c:v>
                </c:pt>
                <c:pt idx="209">
                  <c:v>39687.38381</c:v>
                </c:pt>
                <c:pt idx="210">
                  <c:v>39495.0</c:v>
                </c:pt>
                <c:pt idx="211">
                  <c:v>40254.0</c:v>
                </c:pt>
                <c:pt idx="212">
                  <c:v>40523.0</c:v>
                </c:pt>
                <c:pt idx="213">
                  <c:v>39477.02</c:v>
                </c:pt>
                <c:pt idx="214">
                  <c:v>40029.95</c:v>
                </c:pt>
                <c:pt idx="215">
                  <c:v>39881.57</c:v>
                </c:pt>
                <c:pt idx="216">
                  <c:v>38313.91</c:v>
                </c:pt>
                <c:pt idx="217">
                  <c:v>38064.29</c:v>
                </c:pt>
                <c:pt idx="218">
                  <c:v>37146.99</c:v>
                </c:pt>
                <c:pt idx="219">
                  <c:v>36813.47</c:v>
                </c:pt>
                <c:pt idx="220">
                  <c:v>37435.67</c:v>
                </c:pt>
                <c:pt idx="221">
                  <c:v>38107.41</c:v>
                </c:pt>
                <c:pt idx="222">
                  <c:v>38862.03</c:v>
                </c:pt>
                <c:pt idx="223">
                  <c:v>37805.71</c:v>
                </c:pt>
                <c:pt idx="224">
                  <c:v>38336.77</c:v>
                </c:pt>
                <c:pt idx="225">
                  <c:v>36902.33</c:v>
                </c:pt>
                <c:pt idx="226">
                  <c:v>34582.33</c:v>
                </c:pt>
                <c:pt idx="227">
                  <c:v>33741.78</c:v>
                </c:pt>
                <c:pt idx="228">
                  <c:v>33059.88</c:v>
                </c:pt>
                <c:pt idx="229">
                  <c:v>33658.54</c:v>
                </c:pt>
                <c:pt idx="230">
                  <c:v>34778.03</c:v>
                </c:pt>
                <c:pt idx="231">
                  <c:v>34369.41</c:v>
                </c:pt>
                <c:pt idx="232">
                  <c:v>34890.93</c:v>
                </c:pt>
                <c:pt idx="233">
                  <c:v>32716.34</c:v>
                </c:pt>
                <c:pt idx="234">
                  <c:v>33129.85</c:v>
                </c:pt>
                <c:pt idx="235">
                  <c:v>34158.52</c:v>
                </c:pt>
                <c:pt idx="236">
                  <c:v>36089.79</c:v>
                </c:pt>
                <c:pt idx="237">
                  <c:v>36000.46</c:v>
                </c:pt>
                <c:pt idx="238">
                  <c:v>38327.5</c:v>
                </c:pt>
                <c:pt idx="239">
                  <c:v>37955.33</c:v>
                </c:pt>
                <c:pt idx="240">
                  <c:v>37249.44</c:v>
                </c:pt>
                <c:pt idx="241">
                  <c:v>36896.26</c:v>
                </c:pt>
                <c:pt idx="242">
                  <c:v>35412.25</c:v>
                </c:pt>
                <c:pt idx="243">
                  <c:v>37759.21</c:v>
                </c:pt>
                <c:pt idx="244">
                  <c:v>37485.46</c:v>
                </c:pt>
                <c:pt idx="245">
                  <c:v>36860.7</c:v>
                </c:pt>
                <c:pt idx="246">
                  <c:v>38081.2</c:v>
                </c:pt>
                <c:pt idx="247">
                  <c:v>38298.57</c:v>
                </c:pt>
                <c:pt idx="248">
                  <c:v>38913.34</c:v>
                </c:pt>
                <c:pt idx="249">
                  <c:v>39312.98</c:v>
                </c:pt>
                <c:pt idx="250">
                  <c:v>39890.88</c:v>
                </c:pt>
                <c:pt idx="251">
                  <c:v>40010.55</c:v>
                </c:pt>
                <c:pt idx="252">
                  <c:v>40226.61</c:v>
                </c:pt>
                <c:pt idx="253">
                  <c:v>41027.12</c:v>
                </c:pt>
                <c:pt idx="254">
                  <c:v>40837.59414</c:v>
                </c:pt>
                <c:pt idx="255">
                  <c:v>40851.88997</c:v>
                </c:pt>
                <c:pt idx="256">
                  <c:v>40773.42251</c:v>
                </c:pt>
                <c:pt idx="257">
                  <c:v>40773.42251</c:v>
                </c:pt>
                <c:pt idx="258">
                  <c:v>41393.19982000001</c:v>
                </c:pt>
                <c:pt idx="259">
                  <c:v>41119.36817</c:v>
                </c:pt>
                <c:pt idx="260">
                  <c:v>41164.53471</c:v>
                </c:pt>
                <c:pt idx="261">
                  <c:v>41259.21</c:v>
                </c:pt>
                <c:pt idx="262">
                  <c:v>41268.77147000001</c:v>
                </c:pt>
                <c:pt idx="263">
                  <c:v>40513.05404000001</c:v>
                </c:pt>
                <c:pt idx="264">
                  <c:v>40601.14113</c:v>
                </c:pt>
                <c:pt idx="265">
                  <c:v>40470.18</c:v>
                </c:pt>
                <c:pt idx="266">
                  <c:v>39597.51</c:v>
                </c:pt>
                <c:pt idx="267">
                  <c:v>38075.29</c:v>
                </c:pt>
                <c:pt idx="268">
                  <c:v>38231.85</c:v>
                </c:pt>
                <c:pt idx="269">
                  <c:v>38054.91</c:v>
                </c:pt>
                <c:pt idx="270">
                  <c:v>38191.91</c:v>
                </c:pt>
                <c:pt idx="271">
                  <c:v>38600.56</c:v>
                </c:pt>
                <c:pt idx="272">
                  <c:v>38496.34</c:v>
                </c:pt>
                <c:pt idx="273">
                  <c:v>38600.28</c:v>
                </c:pt>
                <c:pt idx="274">
                  <c:v>39719.69</c:v>
                </c:pt>
                <c:pt idx="275">
                  <c:v>38766.42</c:v>
                </c:pt>
                <c:pt idx="276">
                  <c:v>39979.8</c:v>
                </c:pt>
                <c:pt idx="277">
                  <c:v>38207.23</c:v>
                </c:pt>
                <c:pt idx="278">
                  <c:v>38353.26</c:v>
                </c:pt>
                <c:pt idx="279">
                  <c:v>39415.94</c:v>
                </c:pt>
                <c:pt idx="280">
                  <c:v>39842.96</c:v>
                </c:pt>
                <c:pt idx="281">
                  <c:v>39588.76</c:v>
                </c:pt>
                <c:pt idx="282">
                  <c:v>39623.96</c:v>
                </c:pt>
                <c:pt idx="283">
                  <c:v>40381.87</c:v>
                </c:pt>
                <c:pt idx="284">
                  <c:v>41104.82</c:v>
                </c:pt>
                <c:pt idx="285">
                  <c:v>41012.58507795336</c:v>
                </c:pt>
                <c:pt idx="286">
                  <c:v>40547.91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33-428C-A2E2-1C5A7ABDD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62537984"/>
        <c:axId val="-1862437536"/>
      </c:scatterChart>
      <c:scatterChart>
        <c:scatterStyle val="lineMarker"/>
        <c:varyColors val="0"/>
        <c:ser>
          <c:idx val="1"/>
          <c:order val="1"/>
          <c:tx>
            <c:v>S&amp;P 500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Data!$B$195:$B$481</c:f>
              <c:numCache>
                <c:formatCode>m/d/yy</c:formatCode>
                <c:ptCount val="287"/>
                <c:pt idx="0">
                  <c:v>39087.0</c:v>
                </c:pt>
                <c:pt idx="1">
                  <c:v>39094.0</c:v>
                </c:pt>
                <c:pt idx="2">
                  <c:v>39101.0</c:v>
                </c:pt>
                <c:pt idx="3">
                  <c:v>39108.0</c:v>
                </c:pt>
                <c:pt idx="4">
                  <c:v>39115.0</c:v>
                </c:pt>
                <c:pt idx="5">
                  <c:v>39122.0</c:v>
                </c:pt>
                <c:pt idx="6">
                  <c:v>39129.0</c:v>
                </c:pt>
                <c:pt idx="7">
                  <c:v>39136.0</c:v>
                </c:pt>
                <c:pt idx="8">
                  <c:v>39143.0</c:v>
                </c:pt>
                <c:pt idx="9">
                  <c:v>39150.0</c:v>
                </c:pt>
                <c:pt idx="10">
                  <c:v>39157.0</c:v>
                </c:pt>
                <c:pt idx="11">
                  <c:v>39164.0</c:v>
                </c:pt>
                <c:pt idx="12">
                  <c:v>39171.0</c:v>
                </c:pt>
                <c:pt idx="13">
                  <c:v>39178.0</c:v>
                </c:pt>
                <c:pt idx="14">
                  <c:v>39185.0</c:v>
                </c:pt>
                <c:pt idx="15">
                  <c:v>39192.0</c:v>
                </c:pt>
                <c:pt idx="16">
                  <c:v>39199.0</c:v>
                </c:pt>
                <c:pt idx="17">
                  <c:v>39206.0</c:v>
                </c:pt>
                <c:pt idx="18">
                  <c:v>39213.0</c:v>
                </c:pt>
                <c:pt idx="19">
                  <c:v>39220.0</c:v>
                </c:pt>
                <c:pt idx="20">
                  <c:v>39227.0</c:v>
                </c:pt>
                <c:pt idx="21">
                  <c:v>39234.0</c:v>
                </c:pt>
                <c:pt idx="22">
                  <c:v>39241.0</c:v>
                </c:pt>
                <c:pt idx="23">
                  <c:v>39248.0</c:v>
                </c:pt>
                <c:pt idx="24">
                  <c:v>39255.0</c:v>
                </c:pt>
                <c:pt idx="25">
                  <c:v>39262.0</c:v>
                </c:pt>
                <c:pt idx="26">
                  <c:v>39269.0</c:v>
                </c:pt>
                <c:pt idx="27">
                  <c:v>39276.0</c:v>
                </c:pt>
                <c:pt idx="28">
                  <c:v>39283.0</c:v>
                </c:pt>
                <c:pt idx="29">
                  <c:v>39290.0</c:v>
                </c:pt>
                <c:pt idx="30">
                  <c:v>39297.0</c:v>
                </c:pt>
                <c:pt idx="31">
                  <c:v>39304.0</c:v>
                </c:pt>
                <c:pt idx="32">
                  <c:v>39311.0</c:v>
                </c:pt>
                <c:pt idx="33">
                  <c:v>39318.0</c:v>
                </c:pt>
                <c:pt idx="34">
                  <c:v>39325.0</c:v>
                </c:pt>
                <c:pt idx="35">
                  <c:v>39332.0</c:v>
                </c:pt>
                <c:pt idx="36">
                  <c:v>39339.0</c:v>
                </c:pt>
                <c:pt idx="37">
                  <c:v>39346.0</c:v>
                </c:pt>
                <c:pt idx="38">
                  <c:v>39353.0</c:v>
                </c:pt>
                <c:pt idx="39">
                  <c:v>39360.0</c:v>
                </c:pt>
                <c:pt idx="40">
                  <c:v>39367.0</c:v>
                </c:pt>
                <c:pt idx="41">
                  <c:v>39374.0</c:v>
                </c:pt>
                <c:pt idx="42">
                  <c:v>39381.0</c:v>
                </c:pt>
                <c:pt idx="43">
                  <c:v>39388.0</c:v>
                </c:pt>
                <c:pt idx="44">
                  <c:v>39405.0</c:v>
                </c:pt>
                <c:pt idx="45">
                  <c:v>39417.0</c:v>
                </c:pt>
                <c:pt idx="46">
                  <c:v>39438.0</c:v>
                </c:pt>
                <c:pt idx="47">
                  <c:v>39452.0</c:v>
                </c:pt>
                <c:pt idx="48">
                  <c:v>39459.0</c:v>
                </c:pt>
                <c:pt idx="49">
                  <c:v>39466.0</c:v>
                </c:pt>
                <c:pt idx="50">
                  <c:v>39480.0</c:v>
                </c:pt>
                <c:pt idx="51">
                  <c:v>39487.0</c:v>
                </c:pt>
                <c:pt idx="52">
                  <c:v>39496.0</c:v>
                </c:pt>
                <c:pt idx="53">
                  <c:v>39503.0</c:v>
                </c:pt>
                <c:pt idx="54">
                  <c:v>39510.0</c:v>
                </c:pt>
                <c:pt idx="55">
                  <c:v>39517.0</c:v>
                </c:pt>
                <c:pt idx="56">
                  <c:v>39531.0</c:v>
                </c:pt>
                <c:pt idx="57">
                  <c:v>39538.0</c:v>
                </c:pt>
                <c:pt idx="58">
                  <c:v>39549.0</c:v>
                </c:pt>
                <c:pt idx="59">
                  <c:v>39556.0</c:v>
                </c:pt>
                <c:pt idx="60">
                  <c:v>39571.0</c:v>
                </c:pt>
                <c:pt idx="61">
                  <c:v>39585.0</c:v>
                </c:pt>
                <c:pt idx="62">
                  <c:v>39592.0</c:v>
                </c:pt>
                <c:pt idx="63">
                  <c:v>39599.0</c:v>
                </c:pt>
                <c:pt idx="64">
                  <c:v>39606.0</c:v>
                </c:pt>
                <c:pt idx="65">
                  <c:v>39620.0</c:v>
                </c:pt>
                <c:pt idx="66">
                  <c:v>39639.0</c:v>
                </c:pt>
                <c:pt idx="67">
                  <c:v>39646.0</c:v>
                </c:pt>
                <c:pt idx="68">
                  <c:v>39653.0</c:v>
                </c:pt>
                <c:pt idx="69">
                  <c:v>39660.0</c:v>
                </c:pt>
                <c:pt idx="70">
                  <c:v>39667.0</c:v>
                </c:pt>
                <c:pt idx="71">
                  <c:v>39674.0</c:v>
                </c:pt>
                <c:pt idx="72">
                  <c:v>39681.0</c:v>
                </c:pt>
                <c:pt idx="73">
                  <c:v>39688.0</c:v>
                </c:pt>
                <c:pt idx="74">
                  <c:v>39695.0</c:v>
                </c:pt>
                <c:pt idx="75">
                  <c:v>39702.0</c:v>
                </c:pt>
                <c:pt idx="76">
                  <c:v>39709.0</c:v>
                </c:pt>
                <c:pt idx="77">
                  <c:v>39716.0</c:v>
                </c:pt>
                <c:pt idx="78">
                  <c:v>39723.0</c:v>
                </c:pt>
                <c:pt idx="79">
                  <c:v>39730.0</c:v>
                </c:pt>
                <c:pt idx="80">
                  <c:v>39737.0</c:v>
                </c:pt>
                <c:pt idx="81">
                  <c:v>39744.0</c:v>
                </c:pt>
                <c:pt idx="82">
                  <c:v>39751.0</c:v>
                </c:pt>
                <c:pt idx="83">
                  <c:v>39758.0</c:v>
                </c:pt>
                <c:pt idx="84">
                  <c:v>39765.0</c:v>
                </c:pt>
                <c:pt idx="85">
                  <c:v>39772.0</c:v>
                </c:pt>
                <c:pt idx="86">
                  <c:v>39779.0</c:v>
                </c:pt>
                <c:pt idx="87">
                  <c:v>39786.0</c:v>
                </c:pt>
                <c:pt idx="88">
                  <c:v>39793.0</c:v>
                </c:pt>
                <c:pt idx="89">
                  <c:v>39800.0</c:v>
                </c:pt>
                <c:pt idx="90">
                  <c:v>39807.0</c:v>
                </c:pt>
                <c:pt idx="91">
                  <c:v>39814.0</c:v>
                </c:pt>
                <c:pt idx="92">
                  <c:v>39821.0</c:v>
                </c:pt>
                <c:pt idx="93">
                  <c:v>39828.0</c:v>
                </c:pt>
                <c:pt idx="94">
                  <c:v>39835.0</c:v>
                </c:pt>
                <c:pt idx="95">
                  <c:v>39842.0</c:v>
                </c:pt>
                <c:pt idx="96">
                  <c:v>39849.0</c:v>
                </c:pt>
                <c:pt idx="97">
                  <c:v>39856.0</c:v>
                </c:pt>
                <c:pt idx="98">
                  <c:v>39863.0</c:v>
                </c:pt>
                <c:pt idx="99">
                  <c:v>39870.0</c:v>
                </c:pt>
                <c:pt idx="100">
                  <c:v>39877.0</c:v>
                </c:pt>
                <c:pt idx="101">
                  <c:v>39884.0</c:v>
                </c:pt>
                <c:pt idx="102">
                  <c:v>39891.0</c:v>
                </c:pt>
                <c:pt idx="103">
                  <c:v>39898.0</c:v>
                </c:pt>
                <c:pt idx="104">
                  <c:v>39905.0</c:v>
                </c:pt>
                <c:pt idx="105">
                  <c:v>39912.0</c:v>
                </c:pt>
                <c:pt idx="106">
                  <c:v>39919.0</c:v>
                </c:pt>
                <c:pt idx="107">
                  <c:v>39926.0</c:v>
                </c:pt>
                <c:pt idx="108">
                  <c:v>39933.0</c:v>
                </c:pt>
                <c:pt idx="109">
                  <c:v>39940.0</c:v>
                </c:pt>
                <c:pt idx="110">
                  <c:v>39947.0</c:v>
                </c:pt>
                <c:pt idx="111">
                  <c:v>39954.0</c:v>
                </c:pt>
                <c:pt idx="112">
                  <c:v>39961.0</c:v>
                </c:pt>
                <c:pt idx="113">
                  <c:v>39968.0</c:v>
                </c:pt>
                <c:pt idx="114">
                  <c:v>39975.0</c:v>
                </c:pt>
                <c:pt idx="115">
                  <c:v>39982.0</c:v>
                </c:pt>
                <c:pt idx="116">
                  <c:v>39989.0</c:v>
                </c:pt>
                <c:pt idx="117">
                  <c:v>39996.0</c:v>
                </c:pt>
                <c:pt idx="118">
                  <c:v>40003.0</c:v>
                </c:pt>
                <c:pt idx="119">
                  <c:v>40010.0</c:v>
                </c:pt>
                <c:pt idx="120">
                  <c:v>40017.0</c:v>
                </c:pt>
                <c:pt idx="121">
                  <c:v>40024.0</c:v>
                </c:pt>
                <c:pt idx="122">
                  <c:v>40031.0</c:v>
                </c:pt>
                <c:pt idx="123">
                  <c:v>40038.0</c:v>
                </c:pt>
                <c:pt idx="124">
                  <c:v>40045.0</c:v>
                </c:pt>
                <c:pt idx="125">
                  <c:v>40052.0</c:v>
                </c:pt>
                <c:pt idx="126">
                  <c:v>40059.0</c:v>
                </c:pt>
                <c:pt idx="127">
                  <c:v>40066.0</c:v>
                </c:pt>
                <c:pt idx="128">
                  <c:v>40073.0</c:v>
                </c:pt>
                <c:pt idx="129">
                  <c:v>40080.0</c:v>
                </c:pt>
                <c:pt idx="130">
                  <c:v>40087.0</c:v>
                </c:pt>
                <c:pt idx="131">
                  <c:v>40094.0</c:v>
                </c:pt>
                <c:pt idx="132">
                  <c:v>40101.0</c:v>
                </c:pt>
                <c:pt idx="133">
                  <c:v>40108.0</c:v>
                </c:pt>
                <c:pt idx="134">
                  <c:v>40115.0</c:v>
                </c:pt>
                <c:pt idx="135">
                  <c:v>40122.0</c:v>
                </c:pt>
                <c:pt idx="136">
                  <c:v>40129.0</c:v>
                </c:pt>
                <c:pt idx="137">
                  <c:v>40136.0</c:v>
                </c:pt>
                <c:pt idx="138">
                  <c:v>40143.0</c:v>
                </c:pt>
                <c:pt idx="139">
                  <c:v>40150.0</c:v>
                </c:pt>
                <c:pt idx="140">
                  <c:v>40157.0</c:v>
                </c:pt>
                <c:pt idx="141">
                  <c:v>40164.0</c:v>
                </c:pt>
                <c:pt idx="142">
                  <c:v>40171.0</c:v>
                </c:pt>
                <c:pt idx="143">
                  <c:v>40178.0</c:v>
                </c:pt>
                <c:pt idx="144">
                  <c:v>40185.0</c:v>
                </c:pt>
                <c:pt idx="145">
                  <c:v>40192.0</c:v>
                </c:pt>
                <c:pt idx="146">
                  <c:v>40199.0</c:v>
                </c:pt>
                <c:pt idx="147">
                  <c:v>40206.0</c:v>
                </c:pt>
                <c:pt idx="148">
                  <c:v>40213.0</c:v>
                </c:pt>
                <c:pt idx="149">
                  <c:v>40220.0</c:v>
                </c:pt>
                <c:pt idx="150">
                  <c:v>40227.0</c:v>
                </c:pt>
                <c:pt idx="151">
                  <c:v>40234.0</c:v>
                </c:pt>
                <c:pt idx="152">
                  <c:v>40241.0</c:v>
                </c:pt>
                <c:pt idx="153">
                  <c:v>40248.0</c:v>
                </c:pt>
                <c:pt idx="154">
                  <c:v>40255.0</c:v>
                </c:pt>
                <c:pt idx="155">
                  <c:v>40262.0</c:v>
                </c:pt>
                <c:pt idx="156">
                  <c:v>40269.0</c:v>
                </c:pt>
                <c:pt idx="157">
                  <c:v>40276.0</c:v>
                </c:pt>
                <c:pt idx="158">
                  <c:v>40283.0</c:v>
                </c:pt>
                <c:pt idx="159">
                  <c:v>40290.0</c:v>
                </c:pt>
                <c:pt idx="160">
                  <c:v>40297.0</c:v>
                </c:pt>
                <c:pt idx="161">
                  <c:v>40304.0</c:v>
                </c:pt>
                <c:pt idx="162">
                  <c:v>40311.0</c:v>
                </c:pt>
                <c:pt idx="163">
                  <c:v>40318.0</c:v>
                </c:pt>
                <c:pt idx="164">
                  <c:v>40325.0</c:v>
                </c:pt>
                <c:pt idx="165">
                  <c:v>40332.0</c:v>
                </c:pt>
                <c:pt idx="166">
                  <c:v>40339.0</c:v>
                </c:pt>
                <c:pt idx="167">
                  <c:v>40346.0</c:v>
                </c:pt>
                <c:pt idx="168">
                  <c:v>40353.0</c:v>
                </c:pt>
                <c:pt idx="169">
                  <c:v>40360.0</c:v>
                </c:pt>
                <c:pt idx="170">
                  <c:v>40367.0</c:v>
                </c:pt>
                <c:pt idx="171">
                  <c:v>40374.0</c:v>
                </c:pt>
                <c:pt idx="172">
                  <c:v>40381.0</c:v>
                </c:pt>
                <c:pt idx="173">
                  <c:v>40388.0</c:v>
                </c:pt>
                <c:pt idx="174">
                  <c:v>40395.0</c:v>
                </c:pt>
                <c:pt idx="175">
                  <c:v>40402.0</c:v>
                </c:pt>
                <c:pt idx="176">
                  <c:v>40409.0</c:v>
                </c:pt>
                <c:pt idx="177">
                  <c:v>40416.0</c:v>
                </c:pt>
                <c:pt idx="178">
                  <c:v>40423.0</c:v>
                </c:pt>
                <c:pt idx="179">
                  <c:v>40430.0</c:v>
                </c:pt>
                <c:pt idx="180">
                  <c:v>40437.0</c:v>
                </c:pt>
                <c:pt idx="181">
                  <c:v>40444.0</c:v>
                </c:pt>
                <c:pt idx="182">
                  <c:v>40451.0</c:v>
                </c:pt>
                <c:pt idx="183">
                  <c:v>40458.0</c:v>
                </c:pt>
                <c:pt idx="184">
                  <c:v>40465.0</c:v>
                </c:pt>
                <c:pt idx="185">
                  <c:v>40472.0</c:v>
                </c:pt>
                <c:pt idx="186">
                  <c:v>40479.0</c:v>
                </c:pt>
                <c:pt idx="187">
                  <c:v>40486.0</c:v>
                </c:pt>
                <c:pt idx="188">
                  <c:v>40493.0</c:v>
                </c:pt>
                <c:pt idx="189">
                  <c:v>40500.0</c:v>
                </c:pt>
                <c:pt idx="190">
                  <c:v>40507.0</c:v>
                </c:pt>
                <c:pt idx="191">
                  <c:v>40514.0</c:v>
                </c:pt>
                <c:pt idx="192">
                  <c:v>40521.0</c:v>
                </c:pt>
                <c:pt idx="193">
                  <c:v>40528.0</c:v>
                </c:pt>
                <c:pt idx="194">
                  <c:v>40535.0</c:v>
                </c:pt>
                <c:pt idx="195">
                  <c:v>40542.0</c:v>
                </c:pt>
                <c:pt idx="196">
                  <c:v>40549.0</c:v>
                </c:pt>
                <c:pt idx="197">
                  <c:v>40556.0</c:v>
                </c:pt>
                <c:pt idx="198">
                  <c:v>40563.0</c:v>
                </c:pt>
                <c:pt idx="199">
                  <c:v>40570.0</c:v>
                </c:pt>
                <c:pt idx="200">
                  <c:v>40577.0</c:v>
                </c:pt>
                <c:pt idx="201">
                  <c:v>40584.0</c:v>
                </c:pt>
                <c:pt idx="202">
                  <c:v>40591.0</c:v>
                </c:pt>
                <c:pt idx="203">
                  <c:v>40598.0</c:v>
                </c:pt>
                <c:pt idx="204">
                  <c:v>40605.0</c:v>
                </c:pt>
                <c:pt idx="205">
                  <c:v>40612.0</c:v>
                </c:pt>
                <c:pt idx="206">
                  <c:v>40619.0</c:v>
                </c:pt>
                <c:pt idx="207">
                  <c:v>40626.0</c:v>
                </c:pt>
                <c:pt idx="208">
                  <c:v>40633.0</c:v>
                </c:pt>
                <c:pt idx="209">
                  <c:v>40640.0</c:v>
                </c:pt>
                <c:pt idx="210">
                  <c:v>40647.0</c:v>
                </c:pt>
                <c:pt idx="211">
                  <c:v>40654.0</c:v>
                </c:pt>
                <c:pt idx="212">
                  <c:v>40661.0</c:v>
                </c:pt>
                <c:pt idx="213">
                  <c:v>40668.0</c:v>
                </c:pt>
                <c:pt idx="214">
                  <c:v>40675.0</c:v>
                </c:pt>
                <c:pt idx="215">
                  <c:v>40682.0</c:v>
                </c:pt>
                <c:pt idx="216">
                  <c:v>40689.0</c:v>
                </c:pt>
                <c:pt idx="217">
                  <c:v>40696.0</c:v>
                </c:pt>
                <c:pt idx="218">
                  <c:v>40703.0</c:v>
                </c:pt>
                <c:pt idx="219">
                  <c:v>40710.0</c:v>
                </c:pt>
                <c:pt idx="220">
                  <c:v>40717.0</c:v>
                </c:pt>
                <c:pt idx="221">
                  <c:v>40724.0</c:v>
                </c:pt>
                <c:pt idx="222">
                  <c:v>40731.0</c:v>
                </c:pt>
                <c:pt idx="223">
                  <c:v>40738.0</c:v>
                </c:pt>
                <c:pt idx="224">
                  <c:v>40745.0</c:v>
                </c:pt>
                <c:pt idx="225">
                  <c:v>40752.0</c:v>
                </c:pt>
                <c:pt idx="226">
                  <c:v>40759.0</c:v>
                </c:pt>
                <c:pt idx="227">
                  <c:v>40766.0</c:v>
                </c:pt>
                <c:pt idx="228">
                  <c:v>40773.0</c:v>
                </c:pt>
                <c:pt idx="229">
                  <c:v>40780.0</c:v>
                </c:pt>
                <c:pt idx="230">
                  <c:v>40787.0</c:v>
                </c:pt>
                <c:pt idx="231">
                  <c:v>40794.0</c:v>
                </c:pt>
                <c:pt idx="232">
                  <c:v>40801.0</c:v>
                </c:pt>
                <c:pt idx="233">
                  <c:v>40808.0</c:v>
                </c:pt>
                <c:pt idx="234">
                  <c:v>40815.0</c:v>
                </c:pt>
                <c:pt idx="235">
                  <c:v>40822.0</c:v>
                </c:pt>
                <c:pt idx="236">
                  <c:v>40829.0</c:v>
                </c:pt>
                <c:pt idx="237">
                  <c:v>40836.0</c:v>
                </c:pt>
                <c:pt idx="238">
                  <c:v>40843.0</c:v>
                </c:pt>
                <c:pt idx="239">
                  <c:v>40850.0</c:v>
                </c:pt>
                <c:pt idx="240">
                  <c:v>40857.0</c:v>
                </c:pt>
                <c:pt idx="241">
                  <c:v>40864.0</c:v>
                </c:pt>
                <c:pt idx="242">
                  <c:v>40871.0</c:v>
                </c:pt>
                <c:pt idx="243">
                  <c:v>40878.0</c:v>
                </c:pt>
                <c:pt idx="244">
                  <c:v>40885.0</c:v>
                </c:pt>
                <c:pt idx="245">
                  <c:v>40892.0</c:v>
                </c:pt>
                <c:pt idx="246">
                  <c:v>40899.0</c:v>
                </c:pt>
                <c:pt idx="247">
                  <c:v>40906.0</c:v>
                </c:pt>
                <c:pt idx="248">
                  <c:v>40913.0</c:v>
                </c:pt>
                <c:pt idx="249">
                  <c:v>40920.0</c:v>
                </c:pt>
                <c:pt idx="250">
                  <c:v>40927.0</c:v>
                </c:pt>
                <c:pt idx="251">
                  <c:v>40934.0</c:v>
                </c:pt>
                <c:pt idx="252">
                  <c:v>40941.0</c:v>
                </c:pt>
                <c:pt idx="253">
                  <c:v>40948.0</c:v>
                </c:pt>
                <c:pt idx="254">
                  <c:v>40955.0</c:v>
                </c:pt>
                <c:pt idx="255">
                  <c:v>40962.0</c:v>
                </c:pt>
                <c:pt idx="256">
                  <c:v>40969.0</c:v>
                </c:pt>
                <c:pt idx="257">
                  <c:v>40976.0</c:v>
                </c:pt>
                <c:pt idx="258">
                  <c:v>40983.0</c:v>
                </c:pt>
                <c:pt idx="259">
                  <c:v>40990.0</c:v>
                </c:pt>
                <c:pt idx="260">
                  <c:v>40997.0</c:v>
                </c:pt>
                <c:pt idx="261">
                  <c:v>41004.0</c:v>
                </c:pt>
                <c:pt idx="262">
                  <c:v>41011.0</c:v>
                </c:pt>
                <c:pt idx="263">
                  <c:v>41018.0</c:v>
                </c:pt>
                <c:pt idx="264">
                  <c:v>41025.0</c:v>
                </c:pt>
                <c:pt idx="265">
                  <c:v>41032.0</c:v>
                </c:pt>
                <c:pt idx="266">
                  <c:v>41039.0</c:v>
                </c:pt>
                <c:pt idx="267">
                  <c:v>41046.0</c:v>
                </c:pt>
                <c:pt idx="268">
                  <c:v>41053.0</c:v>
                </c:pt>
                <c:pt idx="269">
                  <c:v>41060.0</c:v>
                </c:pt>
                <c:pt idx="270">
                  <c:v>41067.0</c:v>
                </c:pt>
                <c:pt idx="271">
                  <c:v>41074.0</c:v>
                </c:pt>
                <c:pt idx="272">
                  <c:v>41081.0</c:v>
                </c:pt>
                <c:pt idx="273">
                  <c:v>41088.0</c:v>
                </c:pt>
                <c:pt idx="274">
                  <c:v>41095.0</c:v>
                </c:pt>
                <c:pt idx="275">
                  <c:v>41102.0</c:v>
                </c:pt>
                <c:pt idx="276">
                  <c:v>41109.0</c:v>
                </c:pt>
                <c:pt idx="277">
                  <c:v>41116.0</c:v>
                </c:pt>
                <c:pt idx="278">
                  <c:v>41123.0</c:v>
                </c:pt>
                <c:pt idx="279">
                  <c:v>41130.0</c:v>
                </c:pt>
                <c:pt idx="280">
                  <c:v>41137.0</c:v>
                </c:pt>
                <c:pt idx="281">
                  <c:v>41144.0</c:v>
                </c:pt>
                <c:pt idx="282">
                  <c:v>41151.0</c:v>
                </c:pt>
                <c:pt idx="283">
                  <c:v>41158.0</c:v>
                </c:pt>
                <c:pt idx="284">
                  <c:v>41165.0</c:v>
                </c:pt>
                <c:pt idx="285">
                  <c:v>41172.0</c:v>
                </c:pt>
                <c:pt idx="286">
                  <c:v>41179.0</c:v>
                </c:pt>
              </c:numCache>
            </c:numRef>
          </c:xVal>
          <c:yVal>
            <c:numRef>
              <c:f>Data!$L$195:$L$481</c:f>
              <c:numCache>
                <c:formatCode>#,##0.00_);[Red]\(#,##0.00\)</c:formatCode>
                <c:ptCount val="287"/>
                <c:pt idx="0">
                  <c:v>1409.26</c:v>
                </c:pt>
                <c:pt idx="1">
                  <c:v>1430.73</c:v>
                </c:pt>
                <c:pt idx="2">
                  <c:v>1430.47</c:v>
                </c:pt>
                <c:pt idx="3">
                  <c:v>1422.03</c:v>
                </c:pt>
                <c:pt idx="4">
                  <c:v>1448.33</c:v>
                </c:pt>
                <c:pt idx="5">
                  <c:v>1438.0</c:v>
                </c:pt>
                <c:pt idx="6">
                  <c:v>1455.53</c:v>
                </c:pt>
                <c:pt idx="7">
                  <c:v>1451.04</c:v>
                </c:pt>
                <c:pt idx="8">
                  <c:v>1387.11</c:v>
                </c:pt>
                <c:pt idx="9">
                  <c:v>1402.8</c:v>
                </c:pt>
                <c:pt idx="10">
                  <c:v>1386.95</c:v>
                </c:pt>
                <c:pt idx="11">
                  <c:v>1436.11</c:v>
                </c:pt>
                <c:pt idx="12">
                  <c:v>1420.83</c:v>
                </c:pt>
                <c:pt idx="13">
                  <c:v>1443.77</c:v>
                </c:pt>
                <c:pt idx="14">
                  <c:v>1452.84</c:v>
                </c:pt>
                <c:pt idx="15">
                  <c:v>1484.33</c:v>
                </c:pt>
                <c:pt idx="16">
                  <c:v>1494.07</c:v>
                </c:pt>
                <c:pt idx="17">
                  <c:v>1505.57</c:v>
                </c:pt>
                <c:pt idx="18">
                  <c:v>1505.76</c:v>
                </c:pt>
                <c:pt idx="19">
                  <c:v>1522.75</c:v>
                </c:pt>
                <c:pt idx="20">
                  <c:v>1515.55</c:v>
                </c:pt>
                <c:pt idx="21">
                  <c:v>1536.28</c:v>
                </c:pt>
                <c:pt idx="22">
                  <c:v>1507.64</c:v>
                </c:pt>
                <c:pt idx="23">
                  <c:v>1532.9</c:v>
                </c:pt>
                <c:pt idx="24">
                  <c:v>1502.56</c:v>
                </c:pt>
                <c:pt idx="25">
                  <c:v>1504.66</c:v>
                </c:pt>
                <c:pt idx="26">
                  <c:v>1530.43</c:v>
                </c:pt>
                <c:pt idx="27">
                  <c:v>1552.5</c:v>
                </c:pt>
                <c:pt idx="28">
                  <c:v>1534.06</c:v>
                </c:pt>
                <c:pt idx="29">
                  <c:v>1458.93</c:v>
                </c:pt>
                <c:pt idx="30">
                  <c:v>1433.04</c:v>
                </c:pt>
                <c:pt idx="31">
                  <c:v>1453.42</c:v>
                </c:pt>
                <c:pt idx="32">
                  <c:v>1445.94</c:v>
                </c:pt>
                <c:pt idx="33">
                  <c:v>1479.36</c:v>
                </c:pt>
                <c:pt idx="34">
                  <c:v>1473.96</c:v>
                </c:pt>
                <c:pt idx="35">
                  <c:v>1453.5</c:v>
                </c:pt>
                <c:pt idx="36">
                  <c:v>1484.24</c:v>
                </c:pt>
                <c:pt idx="37">
                  <c:v>1525.75</c:v>
                </c:pt>
                <c:pt idx="38">
                  <c:v>1527.29</c:v>
                </c:pt>
                <c:pt idx="39">
                  <c:v>1556.51</c:v>
                </c:pt>
                <c:pt idx="40">
                  <c:v>1562.25</c:v>
                </c:pt>
                <c:pt idx="41">
                  <c:v>1497.79</c:v>
                </c:pt>
                <c:pt idx="42">
                  <c:v>1536.92</c:v>
                </c:pt>
                <c:pt idx="43">
                  <c:v>1505.61</c:v>
                </c:pt>
                <c:pt idx="44">
                  <c:v>1433.27</c:v>
                </c:pt>
                <c:pt idx="45">
                  <c:v>1481.14</c:v>
                </c:pt>
                <c:pt idx="46">
                  <c:v>1484.46</c:v>
                </c:pt>
                <c:pt idx="47">
                  <c:v>1411.63</c:v>
                </c:pt>
                <c:pt idx="48">
                  <c:v>1401.02</c:v>
                </c:pt>
                <c:pt idx="49">
                  <c:v>1333.0</c:v>
                </c:pt>
                <c:pt idx="50">
                  <c:v>1395.42</c:v>
                </c:pt>
                <c:pt idx="51">
                  <c:v>1331.0</c:v>
                </c:pt>
                <c:pt idx="52">
                  <c:v>1350.0</c:v>
                </c:pt>
                <c:pt idx="53">
                  <c:v>1372.0</c:v>
                </c:pt>
                <c:pt idx="54">
                  <c:v>1273.0</c:v>
                </c:pt>
                <c:pt idx="55">
                  <c:v>1277.0</c:v>
                </c:pt>
                <c:pt idx="56">
                  <c:v>1350.0</c:v>
                </c:pt>
                <c:pt idx="57">
                  <c:v>1323.0</c:v>
                </c:pt>
                <c:pt idx="58">
                  <c:v>1333.0</c:v>
                </c:pt>
                <c:pt idx="59">
                  <c:v>1390.0</c:v>
                </c:pt>
                <c:pt idx="60">
                  <c:v>1414.0</c:v>
                </c:pt>
                <c:pt idx="61">
                  <c:v>1425.0</c:v>
                </c:pt>
                <c:pt idx="62">
                  <c:v>1376.0</c:v>
                </c:pt>
                <c:pt idx="63">
                  <c:v>1400.0</c:v>
                </c:pt>
                <c:pt idx="64">
                  <c:v>1360.0</c:v>
                </c:pt>
                <c:pt idx="65">
                  <c:v>1318.0</c:v>
                </c:pt>
                <c:pt idx="66">
                  <c:v>1239.0</c:v>
                </c:pt>
                <c:pt idx="67">
                  <c:v>1260.32</c:v>
                </c:pt>
                <c:pt idx="68">
                  <c:v>1252.54</c:v>
                </c:pt>
                <c:pt idx="69">
                  <c:v>1267.38</c:v>
                </c:pt>
                <c:pt idx="70">
                  <c:v>1266.07</c:v>
                </c:pt>
                <c:pt idx="71">
                  <c:v>1292.93</c:v>
                </c:pt>
                <c:pt idx="72">
                  <c:v>1292.2</c:v>
                </c:pt>
                <c:pt idx="73">
                  <c:v>1282.83</c:v>
                </c:pt>
                <c:pt idx="74">
                  <c:v>1242.31</c:v>
                </c:pt>
                <c:pt idx="75">
                  <c:v>1251.7</c:v>
                </c:pt>
                <c:pt idx="76">
                  <c:v>1255.08</c:v>
                </c:pt>
                <c:pt idx="77">
                  <c:v>1213.27</c:v>
                </c:pt>
                <c:pt idx="78">
                  <c:v>1099.23</c:v>
                </c:pt>
                <c:pt idx="79">
                  <c:v>899.22</c:v>
                </c:pt>
                <c:pt idx="80">
                  <c:v>940.55</c:v>
                </c:pt>
                <c:pt idx="81">
                  <c:v>876.77</c:v>
                </c:pt>
                <c:pt idx="82">
                  <c:v>968.75</c:v>
                </c:pt>
                <c:pt idx="83">
                  <c:v>930.99</c:v>
                </c:pt>
                <c:pt idx="84">
                  <c:v>873.29</c:v>
                </c:pt>
                <c:pt idx="85">
                  <c:v>800.03</c:v>
                </c:pt>
                <c:pt idx="86">
                  <c:v>896.24</c:v>
                </c:pt>
                <c:pt idx="87">
                  <c:v>876.07</c:v>
                </c:pt>
                <c:pt idx="88">
                  <c:v>879.73</c:v>
                </c:pt>
                <c:pt idx="89">
                  <c:v>887.88</c:v>
                </c:pt>
                <c:pt idx="90">
                  <c:v>872.8</c:v>
                </c:pt>
                <c:pt idx="91">
                  <c:v>931.8</c:v>
                </c:pt>
                <c:pt idx="92">
                  <c:v>890.35</c:v>
                </c:pt>
                <c:pt idx="93">
                  <c:v>850.12</c:v>
                </c:pt>
                <c:pt idx="94">
                  <c:v>831.95</c:v>
                </c:pt>
                <c:pt idx="95">
                  <c:v>825.88</c:v>
                </c:pt>
                <c:pt idx="96">
                  <c:v>868.6</c:v>
                </c:pt>
                <c:pt idx="97">
                  <c:v>826.84</c:v>
                </c:pt>
                <c:pt idx="98">
                  <c:v>770.05</c:v>
                </c:pt>
                <c:pt idx="99">
                  <c:v>735.09</c:v>
                </c:pt>
                <c:pt idx="100">
                  <c:v>683.38</c:v>
                </c:pt>
                <c:pt idx="101">
                  <c:v>756.5498</c:v>
                </c:pt>
                <c:pt idx="102">
                  <c:v>768.5398</c:v>
                </c:pt>
                <c:pt idx="103">
                  <c:v>815.9399</c:v>
                </c:pt>
                <c:pt idx="104">
                  <c:v>842.5</c:v>
                </c:pt>
                <c:pt idx="105">
                  <c:v>856.5598</c:v>
                </c:pt>
                <c:pt idx="106">
                  <c:v>869.5999</c:v>
                </c:pt>
                <c:pt idx="107">
                  <c:v>866.23</c:v>
                </c:pt>
                <c:pt idx="108">
                  <c:v>877.5198</c:v>
                </c:pt>
                <c:pt idx="109">
                  <c:v>929.23</c:v>
                </c:pt>
                <c:pt idx="110">
                  <c:v>882.8799</c:v>
                </c:pt>
                <c:pt idx="111">
                  <c:v>887.0</c:v>
                </c:pt>
                <c:pt idx="112">
                  <c:v>919.1399</c:v>
                </c:pt>
                <c:pt idx="113">
                  <c:v>940.0898</c:v>
                </c:pt>
                <c:pt idx="114">
                  <c:v>946.21</c:v>
                </c:pt>
                <c:pt idx="115">
                  <c:v>921.23</c:v>
                </c:pt>
                <c:pt idx="116">
                  <c:v>918.8999</c:v>
                </c:pt>
                <c:pt idx="117">
                  <c:v>896.4199</c:v>
                </c:pt>
                <c:pt idx="118">
                  <c:v>879.1299</c:v>
                </c:pt>
                <c:pt idx="119">
                  <c:v>940.3799</c:v>
                </c:pt>
                <c:pt idx="120">
                  <c:v>979.2598</c:v>
                </c:pt>
                <c:pt idx="121">
                  <c:v>987.48</c:v>
                </c:pt>
                <c:pt idx="122">
                  <c:v>1010.48</c:v>
                </c:pt>
                <c:pt idx="123">
                  <c:v>1004.0898</c:v>
                </c:pt>
                <c:pt idx="124">
                  <c:v>1026.1299</c:v>
                </c:pt>
                <c:pt idx="125">
                  <c:v>1028.9299</c:v>
                </c:pt>
                <c:pt idx="126">
                  <c:v>1016.3999</c:v>
                </c:pt>
                <c:pt idx="127">
                  <c:v>1042.73</c:v>
                </c:pt>
                <c:pt idx="128">
                  <c:v>1068.2998</c:v>
                </c:pt>
                <c:pt idx="129">
                  <c:v>1044.3799</c:v>
                </c:pt>
                <c:pt idx="130">
                  <c:v>1025.21</c:v>
                </c:pt>
                <c:pt idx="131">
                  <c:v>1071.49</c:v>
                </c:pt>
                <c:pt idx="132">
                  <c:v>1087.6799</c:v>
                </c:pt>
                <c:pt idx="133">
                  <c:v>1079.5999</c:v>
                </c:pt>
                <c:pt idx="134">
                  <c:v>1036.1899</c:v>
                </c:pt>
                <c:pt idx="135">
                  <c:v>1069.2998</c:v>
                </c:pt>
                <c:pt idx="136">
                  <c:v>1093.48</c:v>
                </c:pt>
                <c:pt idx="137">
                  <c:v>1091.3799</c:v>
                </c:pt>
                <c:pt idx="138">
                  <c:v>1091.49</c:v>
                </c:pt>
                <c:pt idx="139">
                  <c:v>1105.98</c:v>
                </c:pt>
                <c:pt idx="140">
                  <c:v>1106.4099</c:v>
                </c:pt>
                <c:pt idx="141">
                  <c:v>1102.47</c:v>
                </c:pt>
                <c:pt idx="142">
                  <c:v>1126.48</c:v>
                </c:pt>
                <c:pt idx="143">
                  <c:v>1115.0999</c:v>
                </c:pt>
                <c:pt idx="144">
                  <c:v>1144.98</c:v>
                </c:pt>
                <c:pt idx="145">
                  <c:v>1136.0298</c:v>
                </c:pt>
                <c:pt idx="146">
                  <c:v>1091.7598</c:v>
                </c:pt>
                <c:pt idx="147">
                  <c:v>1073.8699</c:v>
                </c:pt>
                <c:pt idx="148">
                  <c:v>1066.1899</c:v>
                </c:pt>
                <c:pt idx="149">
                  <c:v>1075.5098</c:v>
                </c:pt>
                <c:pt idx="150">
                  <c:v>1109.1699</c:v>
                </c:pt>
                <c:pt idx="151">
                  <c:v>1104.49</c:v>
                </c:pt>
                <c:pt idx="152">
                  <c:v>1138.7</c:v>
                </c:pt>
                <c:pt idx="153">
                  <c:v>1149.99</c:v>
                </c:pt>
                <c:pt idx="154">
                  <c:v>1159.9</c:v>
                </c:pt>
                <c:pt idx="155">
                  <c:v>1166.59</c:v>
                </c:pt>
                <c:pt idx="156">
                  <c:v>1178.1</c:v>
                </c:pt>
                <c:pt idx="157">
                  <c:v>1194.37</c:v>
                </c:pt>
                <c:pt idx="158">
                  <c:v>1192.13</c:v>
                </c:pt>
                <c:pt idx="159">
                  <c:v>1217.28</c:v>
                </c:pt>
                <c:pt idx="160">
                  <c:v>1186.69</c:v>
                </c:pt>
                <c:pt idx="161">
                  <c:v>1110.88</c:v>
                </c:pt>
                <c:pt idx="162">
                  <c:v>1135.68</c:v>
                </c:pt>
                <c:pt idx="163">
                  <c:v>1087.69</c:v>
                </c:pt>
                <c:pt idx="164">
                  <c:v>1089.41</c:v>
                </c:pt>
                <c:pt idx="165">
                  <c:v>1064.88</c:v>
                </c:pt>
                <c:pt idx="166">
                  <c:v>1091.6</c:v>
                </c:pt>
                <c:pt idx="167">
                  <c:v>1117.51</c:v>
                </c:pt>
                <c:pt idx="168">
                  <c:v>1076.76</c:v>
                </c:pt>
                <c:pt idx="169">
                  <c:v>1022.58</c:v>
                </c:pt>
                <c:pt idx="170">
                  <c:v>1077.96</c:v>
                </c:pt>
                <c:pt idx="171">
                  <c:v>1064.88</c:v>
                </c:pt>
                <c:pt idx="172">
                  <c:v>1102.66</c:v>
                </c:pt>
                <c:pt idx="173">
                  <c:v>1101.6</c:v>
                </c:pt>
                <c:pt idx="174">
                  <c:v>1121.64</c:v>
                </c:pt>
                <c:pt idx="175">
                  <c:v>1079.25</c:v>
                </c:pt>
                <c:pt idx="176">
                  <c:v>1071.69</c:v>
                </c:pt>
                <c:pt idx="177">
                  <c:v>1064.59</c:v>
                </c:pt>
                <c:pt idx="178">
                  <c:v>1104.51</c:v>
                </c:pt>
                <c:pt idx="179">
                  <c:v>1109.55</c:v>
                </c:pt>
                <c:pt idx="180">
                  <c:v>1125.59</c:v>
                </c:pt>
                <c:pt idx="181">
                  <c:v>1148.67</c:v>
                </c:pt>
                <c:pt idx="182">
                  <c:v>1146.24</c:v>
                </c:pt>
                <c:pt idx="183">
                  <c:v>1165.15</c:v>
                </c:pt>
                <c:pt idx="184">
                  <c:v>1176.19</c:v>
                </c:pt>
                <c:pt idx="185">
                  <c:v>1183.08</c:v>
                </c:pt>
                <c:pt idx="186">
                  <c:v>1183.26</c:v>
                </c:pt>
                <c:pt idx="187">
                  <c:v>1225.85</c:v>
                </c:pt>
                <c:pt idx="188">
                  <c:v>1199.21</c:v>
                </c:pt>
                <c:pt idx="189">
                  <c:v>1199.73</c:v>
                </c:pt>
                <c:pt idx="190">
                  <c:v>1189.4</c:v>
                </c:pt>
                <c:pt idx="191">
                  <c:v>1224.71</c:v>
                </c:pt>
                <c:pt idx="192">
                  <c:v>1240.4</c:v>
                </c:pt>
                <c:pt idx="193">
                  <c:v>1243.91</c:v>
                </c:pt>
                <c:pt idx="194">
                  <c:v>1256.77</c:v>
                </c:pt>
                <c:pt idx="195">
                  <c:v>1257.64</c:v>
                </c:pt>
                <c:pt idx="196">
                  <c:v>1271.5</c:v>
                </c:pt>
                <c:pt idx="197">
                  <c:v>1293.24</c:v>
                </c:pt>
                <c:pt idx="198">
                  <c:v>1283.35</c:v>
                </c:pt>
                <c:pt idx="199">
                  <c:v>1276.34</c:v>
                </c:pt>
                <c:pt idx="200">
                  <c:v>1310.87</c:v>
                </c:pt>
                <c:pt idx="201">
                  <c:v>1329.15</c:v>
                </c:pt>
                <c:pt idx="202">
                  <c:v>1343.01</c:v>
                </c:pt>
                <c:pt idx="203">
                  <c:v>1319.88</c:v>
                </c:pt>
                <c:pt idx="204">
                  <c:v>1321.15</c:v>
                </c:pt>
                <c:pt idx="205">
                  <c:v>1304.28</c:v>
                </c:pt>
                <c:pt idx="206">
                  <c:v>1276.71</c:v>
                </c:pt>
                <c:pt idx="207">
                  <c:v>1309.02</c:v>
                </c:pt>
                <c:pt idx="208">
                  <c:v>1332.41</c:v>
                </c:pt>
                <c:pt idx="209">
                  <c:v>1328.17</c:v>
                </c:pt>
                <c:pt idx="210">
                  <c:v>1314.52</c:v>
                </c:pt>
                <c:pt idx="211">
                  <c:v>1337.38</c:v>
                </c:pt>
                <c:pt idx="212">
                  <c:v>1360.48</c:v>
                </c:pt>
                <c:pt idx="213">
                  <c:v>1335.1</c:v>
                </c:pt>
                <c:pt idx="214">
                  <c:v>1348.65</c:v>
                </c:pt>
                <c:pt idx="215">
                  <c:v>1343.6</c:v>
                </c:pt>
                <c:pt idx="216">
                  <c:v>1331.1</c:v>
                </c:pt>
                <c:pt idx="217">
                  <c:v>1300.16</c:v>
                </c:pt>
                <c:pt idx="218">
                  <c:v>1270.98</c:v>
                </c:pt>
                <c:pt idx="219">
                  <c:v>1271.5</c:v>
                </c:pt>
                <c:pt idx="220">
                  <c:v>1268.45</c:v>
                </c:pt>
                <c:pt idx="221">
                  <c:v>1339.67</c:v>
                </c:pt>
                <c:pt idx="222">
                  <c:v>1343.8</c:v>
                </c:pt>
                <c:pt idx="223">
                  <c:v>1316.14</c:v>
                </c:pt>
                <c:pt idx="224">
                  <c:v>1345.02</c:v>
                </c:pt>
                <c:pt idx="225">
                  <c:v>1292.28</c:v>
                </c:pt>
                <c:pt idx="226">
                  <c:v>1199.38</c:v>
                </c:pt>
                <c:pt idx="227">
                  <c:v>1178.81</c:v>
                </c:pt>
                <c:pt idx="228">
                  <c:v>1123.53</c:v>
                </c:pt>
                <c:pt idx="229">
                  <c:v>1159.27</c:v>
                </c:pt>
                <c:pt idx="230">
                  <c:v>1204.42</c:v>
                </c:pt>
                <c:pt idx="231">
                  <c:v>1154.23</c:v>
                </c:pt>
                <c:pt idx="232">
                  <c:v>1216.01</c:v>
                </c:pt>
                <c:pt idx="233">
                  <c:v>1136.43</c:v>
                </c:pt>
                <c:pt idx="234">
                  <c:v>1131.42</c:v>
                </c:pt>
                <c:pt idx="235">
                  <c:v>1164.97</c:v>
                </c:pt>
                <c:pt idx="236">
                  <c:v>1203.66</c:v>
                </c:pt>
                <c:pt idx="237">
                  <c:v>1215.39</c:v>
                </c:pt>
                <c:pt idx="238">
                  <c:v>1284.59</c:v>
                </c:pt>
                <c:pt idx="239">
                  <c:v>1261.15</c:v>
                </c:pt>
                <c:pt idx="240">
                  <c:v>1263.85</c:v>
                </c:pt>
                <c:pt idx="241">
                  <c:v>1215.65</c:v>
                </c:pt>
                <c:pt idx="242">
                  <c:v>1158.67</c:v>
                </c:pt>
                <c:pt idx="243">
                  <c:v>1244.28</c:v>
                </c:pt>
                <c:pt idx="244">
                  <c:v>1255.19</c:v>
                </c:pt>
                <c:pt idx="245">
                  <c:v>1219.66</c:v>
                </c:pt>
                <c:pt idx="246">
                  <c:v>1265.33</c:v>
                </c:pt>
                <c:pt idx="247">
                  <c:v>1257.6</c:v>
                </c:pt>
                <c:pt idx="248">
                  <c:v>1277.81</c:v>
                </c:pt>
                <c:pt idx="249">
                  <c:v>1295.5</c:v>
                </c:pt>
                <c:pt idx="250">
                  <c:v>1314.5</c:v>
                </c:pt>
                <c:pt idx="251">
                  <c:v>1318.43</c:v>
                </c:pt>
                <c:pt idx="252">
                  <c:v>1325.54</c:v>
                </c:pt>
                <c:pt idx="253">
                  <c:v>1351.95</c:v>
                </c:pt>
                <c:pt idx="254">
                  <c:v>1358.04</c:v>
                </c:pt>
                <c:pt idx="255">
                  <c:v>1363.46</c:v>
                </c:pt>
                <c:pt idx="256">
                  <c:v>1370.98</c:v>
                </c:pt>
                <c:pt idx="257">
                  <c:v>1371.98</c:v>
                </c:pt>
                <c:pt idx="258">
                  <c:v>1403.58</c:v>
                </c:pt>
                <c:pt idx="259">
                  <c:v>1392.79</c:v>
                </c:pt>
                <c:pt idx="260">
                  <c:v>1394.94</c:v>
                </c:pt>
                <c:pt idx="261">
                  <c:v>1398.08</c:v>
                </c:pt>
                <c:pt idx="262">
                  <c:v>1387.43</c:v>
                </c:pt>
                <c:pt idx="263">
                  <c:v>1376.92</c:v>
                </c:pt>
                <c:pt idx="264">
                  <c:v>1399.98</c:v>
                </c:pt>
                <c:pt idx="265">
                  <c:v>1391.57</c:v>
                </c:pt>
                <c:pt idx="266">
                  <c:v>1358.03</c:v>
                </c:pt>
                <c:pt idx="267">
                  <c:v>1304.86</c:v>
                </c:pt>
                <c:pt idx="268">
                  <c:v>1320.68</c:v>
                </c:pt>
                <c:pt idx="269">
                  <c:v>1310.33</c:v>
                </c:pt>
                <c:pt idx="270">
                  <c:v>1314.99</c:v>
                </c:pt>
                <c:pt idx="271">
                  <c:v>1329.1</c:v>
                </c:pt>
                <c:pt idx="272">
                  <c:v>1325.51</c:v>
                </c:pt>
                <c:pt idx="273">
                  <c:v>1329.04</c:v>
                </c:pt>
                <c:pt idx="274">
                  <c:v>1367.58</c:v>
                </c:pt>
                <c:pt idx="275">
                  <c:v>1334.76</c:v>
                </c:pt>
                <c:pt idx="276">
                  <c:v>1376.51</c:v>
                </c:pt>
                <c:pt idx="277">
                  <c:v>1360.02</c:v>
                </c:pt>
                <c:pt idx="278">
                  <c:v>1365.0</c:v>
                </c:pt>
                <c:pt idx="279">
                  <c:v>1402.8</c:v>
                </c:pt>
                <c:pt idx="280">
                  <c:v>1415.84</c:v>
                </c:pt>
                <c:pt idx="281">
                  <c:v>1402.08</c:v>
                </c:pt>
                <c:pt idx="282">
                  <c:v>1400.07</c:v>
                </c:pt>
                <c:pt idx="283">
                  <c:v>1432.12</c:v>
                </c:pt>
                <c:pt idx="284">
                  <c:v>1459.99</c:v>
                </c:pt>
                <c:pt idx="285">
                  <c:v>1460.26</c:v>
                </c:pt>
                <c:pt idx="286">
                  <c:v>1460.26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33-428C-A2E2-1C5A7ABDD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62510752"/>
        <c:axId val="-1862508704"/>
      </c:scatterChart>
      <c:valAx>
        <c:axId val="-1862537984"/>
        <c:scaling>
          <c:orientation val="minMax"/>
          <c:min val="39388.0"/>
        </c:scaling>
        <c:delete val="0"/>
        <c:axPos val="b"/>
        <c:numFmt formatCode="m/d/yy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2437536"/>
        <c:crosses val="autoZero"/>
        <c:crossBetween val="midCat"/>
      </c:valAx>
      <c:valAx>
        <c:axId val="-18624375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Portfolio Value ($'s)</a:t>
                </a:r>
              </a:p>
            </c:rich>
          </c:tx>
          <c:layout>
            <c:manualLayout>
              <c:xMode val="edge"/>
              <c:yMode val="edge"/>
              <c:x val="0.00685870516185479"/>
              <c:y val="0.4184209691909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;[Red]\-#,##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862537984"/>
        <c:crosses val="autoZero"/>
        <c:crossBetween val="midCat"/>
      </c:valAx>
      <c:valAx>
        <c:axId val="-186251075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one"/>
        <c:crossAx val="-1862508704"/>
        <c:crosses val="autoZero"/>
        <c:crossBetween val="midCat"/>
      </c:valAx>
      <c:valAx>
        <c:axId val="-18625087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S&amp;P 500 Index</a:t>
                </a:r>
              </a:p>
            </c:rich>
          </c:tx>
          <c:overlay val="0"/>
        </c:title>
        <c:numFmt formatCode="#,##0.00;[Red]\-#,##0.00" sourceLinked="1"/>
        <c:majorTickMark val="out"/>
        <c:minorTickMark val="none"/>
        <c:tickLblPos val="nextTo"/>
        <c:crossAx val="-1862510752"/>
        <c:crosses val="max"/>
        <c:crossBetween val="midCat"/>
      </c:valAx>
      <c:spPr>
        <a:solidFill>
          <a:srgbClr val="E9EDF4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0000000000015" r="0.750000000000015" t="1.0" header="0.5" footer="0.5"/>
    <c:pageSetup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IPO vs S&amp;P 500 Returns Since September 2003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0506563167671405"/>
          <c:y val="0.129002035274857"/>
          <c:w val="0.954042823931637"/>
          <c:h val="0.870051397401447"/>
        </c:manualLayout>
      </c:layout>
      <c:lineChart>
        <c:grouping val="stacked"/>
        <c:varyColors val="0"/>
        <c:ser>
          <c:idx val="0"/>
          <c:order val="0"/>
          <c:tx>
            <c:v>IPO</c:v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Data!$B$3:$B$434</c:f>
              <c:numCache>
                <c:formatCode>m/d/yy</c:formatCode>
                <c:ptCount val="432"/>
                <c:pt idx="0">
                  <c:v>37743.0</c:v>
                </c:pt>
                <c:pt idx="1">
                  <c:v>37750.0</c:v>
                </c:pt>
                <c:pt idx="2">
                  <c:v>37757.0</c:v>
                </c:pt>
                <c:pt idx="3">
                  <c:v>37764.0</c:v>
                </c:pt>
                <c:pt idx="4">
                  <c:v>37771.0</c:v>
                </c:pt>
                <c:pt idx="5">
                  <c:v>37778.0</c:v>
                </c:pt>
                <c:pt idx="6">
                  <c:v>37785.0</c:v>
                </c:pt>
                <c:pt idx="7">
                  <c:v>37792.0</c:v>
                </c:pt>
                <c:pt idx="8">
                  <c:v>37799.0</c:v>
                </c:pt>
                <c:pt idx="9">
                  <c:v>37806.0</c:v>
                </c:pt>
                <c:pt idx="10">
                  <c:v>37813.0</c:v>
                </c:pt>
                <c:pt idx="11">
                  <c:v>37820.0</c:v>
                </c:pt>
                <c:pt idx="12">
                  <c:v>37827.0</c:v>
                </c:pt>
                <c:pt idx="13">
                  <c:v>37834.0</c:v>
                </c:pt>
                <c:pt idx="14">
                  <c:v>37841.0</c:v>
                </c:pt>
                <c:pt idx="15">
                  <c:v>37848.0</c:v>
                </c:pt>
                <c:pt idx="16">
                  <c:v>37855.0</c:v>
                </c:pt>
                <c:pt idx="17">
                  <c:v>37862.0</c:v>
                </c:pt>
                <c:pt idx="18">
                  <c:v>37869.0</c:v>
                </c:pt>
                <c:pt idx="19">
                  <c:v>37876.0</c:v>
                </c:pt>
                <c:pt idx="20">
                  <c:v>37883.0</c:v>
                </c:pt>
                <c:pt idx="21">
                  <c:v>37890.0</c:v>
                </c:pt>
                <c:pt idx="22">
                  <c:v>37897.0</c:v>
                </c:pt>
                <c:pt idx="23">
                  <c:v>37904.0</c:v>
                </c:pt>
                <c:pt idx="24">
                  <c:v>37911.0</c:v>
                </c:pt>
                <c:pt idx="25">
                  <c:v>37918.0</c:v>
                </c:pt>
                <c:pt idx="26">
                  <c:v>37925.0</c:v>
                </c:pt>
                <c:pt idx="27">
                  <c:v>37932.0</c:v>
                </c:pt>
                <c:pt idx="28">
                  <c:v>37939.0</c:v>
                </c:pt>
                <c:pt idx="29">
                  <c:v>37946.0</c:v>
                </c:pt>
                <c:pt idx="30">
                  <c:v>37953.0</c:v>
                </c:pt>
                <c:pt idx="31">
                  <c:v>37960.0</c:v>
                </c:pt>
                <c:pt idx="32">
                  <c:v>37967.0</c:v>
                </c:pt>
                <c:pt idx="33">
                  <c:v>37974.0</c:v>
                </c:pt>
                <c:pt idx="34">
                  <c:v>37981.0</c:v>
                </c:pt>
                <c:pt idx="35">
                  <c:v>37988.0</c:v>
                </c:pt>
                <c:pt idx="36">
                  <c:v>37995.0</c:v>
                </c:pt>
                <c:pt idx="37">
                  <c:v>38002.0</c:v>
                </c:pt>
                <c:pt idx="38">
                  <c:v>38009.0</c:v>
                </c:pt>
                <c:pt idx="39">
                  <c:v>38016.0</c:v>
                </c:pt>
                <c:pt idx="40">
                  <c:v>38023.0</c:v>
                </c:pt>
                <c:pt idx="41">
                  <c:v>38030.0</c:v>
                </c:pt>
                <c:pt idx="42">
                  <c:v>38037.0</c:v>
                </c:pt>
                <c:pt idx="43">
                  <c:v>38044.0</c:v>
                </c:pt>
                <c:pt idx="44">
                  <c:v>38051.0</c:v>
                </c:pt>
                <c:pt idx="45">
                  <c:v>38058.0</c:v>
                </c:pt>
                <c:pt idx="46">
                  <c:v>38065.0</c:v>
                </c:pt>
                <c:pt idx="47">
                  <c:v>38072.0</c:v>
                </c:pt>
                <c:pt idx="48">
                  <c:v>38079.0</c:v>
                </c:pt>
                <c:pt idx="49">
                  <c:v>38086.0</c:v>
                </c:pt>
                <c:pt idx="50">
                  <c:v>38093.0</c:v>
                </c:pt>
                <c:pt idx="51">
                  <c:v>38100.0</c:v>
                </c:pt>
                <c:pt idx="52">
                  <c:v>38107.0</c:v>
                </c:pt>
                <c:pt idx="53">
                  <c:v>38114.0</c:v>
                </c:pt>
                <c:pt idx="54">
                  <c:v>38121.0</c:v>
                </c:pt>
                <c:pt idx="55">
                  <c:v>38128.0</c:v>
                </c:pt>
                <c:pt idx="56">
                  <c:v>38135.0</c:v>
                </c:pt>
                <c:pt idx="57">
                  <c:v>38142.0</c:v>
                </c:pt>
                <c:pt idx="58">
                  <c:v>38149.0</c:v>
                </c:pt>
                <c:pt idx="59">
                  <c:v>38156.0</c:v>
                </c:pt>
                <c:pt idx="60">
                  <c:v>38163.0</c:v>
                </c:pt>
                <c:pt idx="61">
                  <c:v>38170.0</c:v>
                </c:pt>
                <c:pt idx="62">
                  <c:v>38177.0</c:v>
                </c:pt>
                <c:pt idx="63">
                  <c:v>38184.0</c:v>
                </c:pt>
                <c:pt idx="64">
                  <c:v>38191.0</c:v>
                </c:pt>
                <c:pt idx="65">
                  <c:v>38198.0</c:v>
                </c:pt>
                <c:pt idx="66">
                  <c:v>38205.0</c:v>
                </c:pt>
                <c:pt idx="67">
                  <c:v>38212.0</c:v>
                </c:pt>
                <c:pt idx="68">
                  <c:v>38219.0</c:v>
                </c:pt>
                <c:pt idx="69">
                  <c:v>38226.0</c:v>
                </c:pt>
                <c:pt idx="70">
                  <c:v>38233.0</c:v>
                </c:pt>
                <c:pt idx="71">
                  <c:v>38240.0</c:v>
                </c:pt>
                <c:pt idx="72">
                  <c:v>38247.0</c:v>
                </c:pt>
                <c:pt idx="73">
                  <c:v>38254.0</c:v>
                </c:pt>
                <c:pt idx="74">
                  <c:v>38261.0</c:v>
                </c:pt>
                <c:pt idx="75">
                  <c:v>38268.0</c:v>
                </c:pt>
                <c:pt idx="76">
                  <c:v>38275.0</c:v>
                </c:pt>
                <c:pt idx="77">
                  <c:v>38282.0</c:v>
                </c:pt>
                <c:pt idx="78">
                  <c:v>38289.0</c:v>
                </c:pt>
                <c:pt idx="79">
                  <c:v>38296.0</c:v>
                </c:pt>
                <c:pt idx="80">
                  <c:v>38303.0</c:v>
                </c:pt>
                <c:pt idx="81">
                  <c:v>38310.0</c:v>
                </c:pt>
                <c:pt idx="82">
                  <c:v>38317.0</c:v>
                </c:pt>
                <c:pt idx="83">
                  <c:v>38324.0</c:v>
                </c:pt>
                <c:pt idx="84">
                  <c:v>38331.0</c:v>
                </c:pt>
                <c:pt idx="85">
                  <c:v>38338.0</c:v>
                </c:pt>
                <c:pt idx="86">
                  <c:v>38345.0</c:v>
                </c:pt>
                <c:pt idx="87">
                  <c:v>38352.0</c:v>
                </c:pt>
                <c:pt idx="88">
                  <c:v>38359.0</c:v>
                </c:pt>
                <c:pt idx="89">
                  <c:v>38366.0</c:v>
                </c:pt>
                <c:pt idx="90">
                  <c:v>38373.0</c:v>
                </c:pt>
                <c:pt idx="91">
                  <c:v>38380.0</c:v>
                </c:pt>
                <c:pt idx="92">
                  <c:v>38387.0</c:v>
                </c:pt>
                <c:pt idx="93">
                  <c:v>38394.0</c:v>
                </c:pt>
                <c:pt idx="94">
                  <c:v>38401.0</c:v>
                </c:pt>
                <c:pt idx="95">
                  <c:v>38408.0</c:v>
                </c:pt>
                <c:pt idx="96">
                  <c:v>38415.0</c:v>
                </c:pt>
                <c:pt idx="97">
                  <c:v>38422.0</c:v>
                </c:pt>
                <c:pt idx="98">
                  <c:v>38429.0</c:v>
                </c:pt>
                <c:pt idx="99">
                  <c:v>38436.0</c:v>
                </c:pt>
                <c:pt idx="100">
                  <c:v>38443.0</c:v>
                </c:pt>
                <c:pt idx="101">
                  <c:v>38450.0</c:v>
                </c:pt>
                <c:pt idx="102">
                  <c:v>38457.0</c:v>
                </c:pt>
                <c:pt idx="103">
                  <c:v>38464.0</c:v>
                </c:pt>
                <c:pt idx="104">
                  <c:v>38471.0</c:v>
                </c:pt>
                <c:pt idx="105">
                  <c:v>38478.0</c:v>
                </c:pt>
                <c:pt idx="106">
                  <c:v>38485.0</c:v>
                </c:pt>
                <c:pt idx="107">
                  <c:v>38492.0</c:v>
                </c:pt>
                <c:pt idx="108">
                  <c:v>38499.0</c:v>
                </c:pt>
                <c:pt idx="109">
                  <c:v>38506.0</c:v>
                </c:pt>
                <c:pt idx="110">
                  <c:v>38513.0</c:v>
                </c:pt>
                <c:pt idx="111">
                  <c:v>38520.0</c:v>
                </c:pt>
                <c:pt idx="112">
                  <c:v>38527.0</c:v>
                </c:pt>
                <c:pt idx="113">
                  <c:v>38534.0</c:v>
                </c:pt>
                <c:pt idx="114">
                  <c:v>38541.0</c:v>
                </c:pt>
                <c:pt idx="115">
                  <c:v>38548.0</c:v>
                </c:pt>
                <c:pt idx="116">
                  <c:v>38555.0</c:v>
                </c:pt>
                <c:pt idx="117">
                  <c:v>38562.0</c:v>
                </c:pt>
                <c:pt idx="118">
                  <c:v>38569.0</c:v>
                </c:pt>
                <c:pt idx="119">
                  <c:v>38576.0</c:v>
                </c:pt>
                <c:pt idx="120">
                  <c:v>38583.0</c:v>
                </c:pt>
                <c:pt idx="121">
                  <c:v>38590.0</c:v>
                </c:pt>
                <c:pt idx="122">
                  <c:v>38597.0</c:v>
                </c:pt>
                <c:pt idx="123">
                  <c:v>38604.0</c:v>
                </c:pt>
                <c:pt idx="124">
                  <c:v>38611.0</c:v>
                </c:pt>
                <c:pt idx="125">
                  <c:v>38618.0</c:v>
                </c:pt>
                <c:pt idx="126">
                  <c:v>38625.0</c:v>
                </c:pt>
                <c:pt idx="127">
                  <c:v>38632.0</c:v>
                </c:pt>
                <c:pt idx="128">
                  <c:v>38639.0</c:v>
                </c:pt>
                <c:pt idx="129">
                  <c:v>38646.0</c:v>
                </c:pt>
                <c:pt idx="130">
                  <c:v>38653.0</c:v>
                </c:pt>
                <c:pt idx="131">
                  <c:v>38660.0</c:v>
                </c:pt>
                <c:pt idx="132">
                  <c:v>38667.0</c:v>
                </c:pt>
                <c:pt idx="133">
                  <c:v>38674.0</c:v>
                </c:pt>
                <c:pt idx="134">
                  <c:v>38681.0</c:v>
                </c:pt>
                <c:pt idx="135">
                  <c:v>38688.0</c:v>
                </c:pt>
                <c:pt idx="136">
                  <c:v>38695.0</c:v>
                </c:pt>
                <c:pt idx="137">
                  <c:v>38702.0</c:v>
                </c:pt>
                <c:pt idx="138">
                  <c:v>38709.0</c:v>
                </c:pt>
                <c:pt idx="139">
                  <c:v>38716.0</c:v>
                </c:pt>
                <c:pt idx="140">
                  <c:v>38723.0</c:v>
                </c:pt>
                <c:pt idx="141">
                  <c:v>38730.0</c:v>
                </c:pt>
                <c:pt idx="142">
                  <c:v>38737.0</c:v>
                </c:pt>
                <c:pt idx="143">
                  <c:v>38744.0</c:v>
                </c:pt>
                <c:pt idx="144">
                  <c:v>38751.0</c:v>
                </c:pt>
                <c:pt idx="145">
                  <c:v>38758.0</c:v>
                </c:pt>
                <c:pt idx="146">
                  <c:v>38765.0</c:v>
                </c:pt>
                <c:pt idx="147">
                  <c:v>38772.0</c:v>
                </c:pt>
                <c:pt idx="148">
                  <c:v>38779.0</c:v>
                </c:pt>
                <c:pt idx="149">
                  <c:v>38786.0</c:v>
                </c:pt>
                <c:pt idx="150">
                  <c:v>38793.0</c:v>
                </c:pt>
                <c:pt idx="151">
                  <c:v>38800.0</c:v>
                </c:pt>
                <c:pt idx="152">
                  <c:v>38807.0</c:v>
                </c:pt>
                <c:pt idx="153">
                  <c:v>38814.0</c:v>
                </c:pt>
                <c:pt idx="154">
                  <c:v>38821.0</c:v>
                </c:pt>
                <c:pt idx="155">
                  <c:v>38828.0</c:v>
                </c:pt>
                <c:pt idx="156">
                  <c:v>38835.0</c:v>
                </c:pt>
                <c:pt idx="157">
                  <c:v>38842.0</c:v>
                </c:pt>
                <c:pt idx="158">
                  <c:v>38849.0</c:v>
                </c:pt>
                <c:pt idx="159">
                  <c:v>38856.0</c:v>
                </c:pt>
                <c:pt idx="160">
                  <c:v>38863.0</c:v>
                </c:pt>
                <c:pt idx="161">
                  <c:v>38870.0</c:v>
                </c:pt>
                <c:pt idx="162">
                  <c:v>38877.0</c:v>
                </c:pt>
                <c:pt idx="163">
                  <c:v>38884.0</c:v>
                </c:pt>
                <c:pt idx="164">
                  <c:v>38891.0</c:v>
                </c:pt>
                <c:pt idx="165">
                  <c:v>38898.0</c:v>
                </c:pt>
                <c:pt idx="166">
                  <c:v>38905.0</c:v>
                </c:pt>
                <c:pt idx="167">
                  <c:v>38912.0</c:v>
                </c:pt>
                <c:pt idx="168">
                  <c:v>38919.0</c:v>
                </c:pt>
                <c:pt idx="169">
                  <c:v>38926.0</c:v>
                </c:pt>
                <c:pt idx="170">
                  <c:v>38933.0</c:v>
                </c:pt>
                <c:pt idx="171">
                  <c:v>38940.0</c:v>
                </c:pt>
                <c:pt idx="172">
                  <c:v>38947.0</c:v>
                </c:pt>
                <c:pt idx="173">
                  <c:v>38954.0</c:v>
                </c:pt>
                <c:pt idx="174">
                  <c:v>38961.0</c:v>
                </c:pt>
                <c:pt idx="175">
                  <c:v>38968.0</c:v>
                </c:pt>
                <c:pt idx="176">
                  <c:v>38975.0</c:v>
                </c:pt>
                <c:pt idx="177">
                  <c:v>38982.0</c:v>
                </c:pt>
                <c:pt idx="178">
                  <c:v>38989.0</c:v>
                </c:pt>
                <c:pt idx="179">
                  <c:v>38996.0</c:v>
                </c:pt>
                <c:pt idx="180">
                  <c:v>39003.0</c:v>
                </c:pt>
                <c:pt idx="181">
                  <c:v>39010.0</c:v>
                </c:pt>
                <c:pt idx="182">
                  <c:v>39017.0</c:v>
                </c:pt>
                <c:pt idx="183">
                  <c:v>39024.0</c:v>
                </c:pt>
                <c:pt idx="184">
                  <c:v>39031.0</c:v>
                </c:pt>
                <c:pt idx="185">
                  <c:v>39038.0</c:v>
                </c:pt>
                <c:pt idx="186">
                  <c:v>39045.0</c:v>
                </c:pt>
                <c:pt idx="187">
                  <c:v>39052.0</c:v>
                </c:pt>
                <c:pt idx="188">
                  <c:v>39059.0</c:v>
                </c:pt>
                <c:pt idx="189">
                  <c:v>39066.0</c:v>
                </c:pt>
                <c:pt idx="190">
                  <c:v>39073.0</c:v>
                </c:pt>
                <c:pt idx="191">
                  <c:v>39080.0</c:v>
                </c:pt>
                <c:pt idx="192">
                  <c:v>39087.0</c:v>
                </c:pt>
                <c:pt idx="193">
                  <c:v>39094.0</c:v>
                </c:pt>
                <c:pt idx="194">
                  <c:v>39101.0</c:v>
                </c:pt>
                <c:pt idx="195">
                  <c:v>39108.0</c:v>
                </c:pt>
                <c:pt idx="196">
                  <c:v>39115.0</c:v>
                </c:pt>
                <c:pt idx="197">
                  <c:v>39122.0</c:v>
                </c:pt>
                <c:pt idx="198">
                  <c:v>39129.0</c:v>
                </c:pt>
                <c:pt idx="199">
                  <c:v>39136.0</c:v>
                </c:pt>
                <c:pt idx="200">
                  <c:v>39143.0</c:v>
                </c:pt>
                <c:pt idx="201">
                  <c:v>39150.0</c:v>
                </c:pt>
                <c:pt idx="202">
                  <c:v>39157.0</c:v>
                </c:pt>
                <c:pt idx="203">
                  <c:v>39164.0</c:v>
                </c:pt>
                <c:pt idx="204">
                  <c:v>39171.0</c:v>
                </c:pt>
                <c:pt idx="205">
                  <c:v>39178.0</c:v>
                </c:pt>
                <c:pt idx="206">
                  <c:v>39185.0</c:v>
                </c:pt>
                <c:pt idx="207">
                  <c:v>39192.0</c:v>
                </c:pt>
                <c:pt idx="208">
                  <c:v>39199.0</c:v>
                </c:pt>
                <c:pt idx="209">
                  <c:v>39206.0</c:v>
                </c:pt>
                <c:pt idx="210">
                  <c:v>39213.0</c:v>
                </c:pt>
                <c:pt idx="211">
                  <c:v>39220.0</c:v>
                </c:pt>
                <c:pt idx="212">
                  <c:v>39227.0</c:v>
                </c:pt>
                <c:pt idx="213">
                  <c:v>39234.0</c:v>
                </c:pt>
                <c:pt idx="214">
                  <c:v>39241.0</c:v>
                </c:pt>
                <c:pt idx="215">
                  <c:v>39248.0</c:v>
                </c:pt>
                <c:pt idx="216">
                  <c:v>39255.0</c:v>
                </c:pt>
                <c:pt idx="217">
                  <c:v>39262.0</c:v>
                </c:pt>
                <c:pt idx="218">
                  <c:v>39269.0</c:v>
                </c:pt>
                <c:pt idx="219">
                  <c:v>39276.0</c:v>
                </c:pt>
                <c:pt idx="220">
                  <c:v>39283.0</c:v>
                </c:pt>
                <c:pt idx="221">
                  <c:v>39290.0</c:v>
                </c:pt>
                <c:pt idx="222">
                  <c:v>39297.0</c:v>
                </c:pt>
                <c:pt idx="223">
                  <c:v>39304.0</c:v>
                </c:pt>
                <c:pt idx="224">
                  <c:v>39311.0</c:v>
                </c:pt>
                <c:pt idx="225">
                  <c:v>39318.0</c:v>
                </c:pt>
                <c:pt idx="226">
                  <c:v>39325.0</c:v>
                </c:pt>
                <c:pt idx="227">
                  <c:v>39332.0</c:v>
                </c:pt>
                <c:pt idx="228">
                  <c:v>39339.0</c:v>
                </c:pt>
                <c:pt idx="229">
                  <c:v>39346.0</c:v>
                </c:pt>
                <c:pt idx="230">
                  <c:v>39353.0</c:v>
                </c:pt>
                <c:pt idx="231">
                  <c:v>39360.0</c:v>
                </c:pt>
                <c:pt idx="232">
                  <c:v>39367.0</c:v>
                </c:pt>
                <c:pt idx="233">
                  <c:v>39374.0</c:v>
                </c:pt>
                <c:pt idx="234">
                  <c:v>39381.0</c:v>
                </c:pt>
                <c:pt idx="235">
                  <c:v>39388.0</c:v>
                </c:pt>
                <c:pt idx="236">
                  <c:v>39405.0</c:v>
                </c:pt>
                <c:pt idx="237">
                  <c:v>39417.0</c:v>
                </c:pt>
                <c:pt idx="238">
                  <c:v>39438.0</c:v>
                </c:pt>
                <c:pt idx="239">
                  <c:v>39452.0</c:v>
                </c:pt>
                <c:pt idx="240">
                  <c:v>39459.0</c:v>
                </c:pt>
                <c:pt idx="241">
                  <c:v>39466.0</c:v>
                </c:pt>
                <c:pt idx="242">
                  <c:v>39480.0</c:v>
                </c:pt>
                <c:pt idx="243">
                  <c:v>39487.0</c:v>
                </c:pt>
                <c:pt idx="244">
                  <c:v>39496.0</c:v>
                </c:pt>
                <c:pt idx="245">
                  <c:v>39503.0</c:v>
                </c:pt>
                <c:pt idx="246">
                  <c:v>39510.0</c:v>
                </c:pt>
                <c:pt idx="247">
                  <c:v>39517.0</c:v>
                </c:pt>
                <c:pt idx="248">
                  <c:v>39531.0</c:v>
                </c:pt>
                <c:pt idx="249">
                  <c:v>39538.0</c:v>
                </c:pt>
                <c:pt idx="250">
                  <c:v>39549.0</c:v>
                </c:pt>
                <c:pt idx="251">
                  <c:v>39556.0</c:v>
                </c:pt>
                <c:pt idx="252">
                  <c:v>39571.0</c:v>
                </c:pt>
                <c:pt idx="253">
                  <c:v>39585.0</c:v>
                </c:pt>
                <c:pt idx="254">
                  <c:v>39592.0</c:v>
                </c:pt>
                <c:pt idx="255">
                  <c:v>39599.0</c:v>
                </c:pt>
                <c:pt idx="256">
                  <c:v>39606.0</c:v>
                </c:pt>
                <c:pt idx="257">
                  <c:v>39620.0</c:v>
                </c:pt>
                <c:pt idx="258">
                  <c:v>39639.0</c:v>
                </c:pt>
                <c:pt idx="259">
                  <c:v>39646.0</c:v>
                </c:pt>
                <c:pt idx="260">
                  <c:v>39653.0</c:v>
                </c:pt>
                <c:pt idx="261">
                  <c:v>39660.0</c:v>
                </c:pt>
                <c:pt idx="262">
                  <c:v>39667.0</c:v>
                </c:pt>
                <c:pt idx="263">
                  <c:v>39674.0</c:v>
                </c:pt>
                <c:pt idx="264">
                  <c:v>39681.0</c:v>
                </c:pt>
                <c:pt idx="265">
                  <c:v>39688.0</c:v>
                </c:pt>
                <c:pt idx="266">
                  <c:v>39695.0</c:v>
                </c:pt>
                <c:pt idx="267">
                  <c:v>39702.0</c:v>
                </c:pt>
                <c:pt idx="268">
                  <c:v>39709.0</c:v>
                </c:pt>
                <c:pt idx="269">
                  <c:v>39716.0</c:v>
                </c:pt>
                <c:pt idx="270">
                  <c:v>39723.0</c:v>
                </c:pt>
                <c:pt idx="271">
                  <c:v>39730.0</c:v>
                </c:pt>
                <c:pt idx="272">
                  <c:v>39737.0</c:v>
                </c:pt>
                <c:pt idx="273">
                  <c:v>39744.0</c:v>
                </c:pt>
                <c:pt idx="274">
                  <c:v>39751.0</c:v>
                </c:pt>
                <c:pt idx="275">
                  <c:v>39758.0</c:v>
                </c:pt>
                <c:pt idx="276">
                  <c:v>39765.0</c:v>
                </c:pt>
                <c:pt idx="277">
                  <c:v>39772.0</c:v>
                </c:pt>
                <c:pt idx="278">
                  <c:v>39779.0</c:v>
                </c:pt>
                <c:pt idx="279">
                  <c:v>39786.0</c:v>
                </c:pt>
                <c:pt idx="280">
                  <c:v>39793.0</c:v>
                </c:pt>
                <c:pt idx="281">
                  <c:v>39800.0</c:v>
                </c:pt>
                <c:pt idx="282">
                  <c:v>39807.0</c:v>
                </c:pt>
                <c:pt idx="283">
                  <c:v>39814.0</c:v>
                </c:pt>
                <c:pt idx="284">
                  <c:v>39821.0</c:v>
                </c:pt>
                <c:pt idx="285">
                  <c:v>39828.0</c:v>
                </c:pt>
                <c:pt idx="286">
                  <c:v>39835.0</c:v>
                </c:pt>
                <c:pt idx="287">
                  <c:v>39842.0</c:v>
                </c:pt>
                <c:pt idx="288">
                  <c:v>39849.0</c:v>
                </c:pt>
                <c:pt idx="289">
                  <c:v>39856.0</c:v>
                </c:pt>
                <c:pt idx="290">
                  <c:v>39863.0</c:v>
                </c:pt>
                <c:pt idx="291">
                  <c:v>39870.0</c:v>
                </c:pt>
                <c:pt idx="292">
                  <c:v>39877.0</c:v>
                </c:pt>
                <c:pt idx="293">
                  <c:v>39884.0</c:v>
                </c:pt>
                <c:pt idx="294">
                  <c:v>39891.0</c:v>
                </c:pt>
                <c:pt idx="295">
                  <c:v>39898.0</c:v>
                </c:pt>
                <c:pt idx="296">
                  <c:v>39905.0</c:v>
                </c:pt>
                <c:pt idx="297">
                  <c:v>39912.0</c:v>
                </c:pt>
                <c:pt idx="298">
                  <c:v>39919.0</c:v>
                </c:pt>
                <c:pt idx="299">
                  <c:v>39926.0</c:v>
                </c:pt>
                <c:pt idx="300">
                  <c:v>39933.0</c:v>
                </c:pt>
                <c:pt idx="301">
                  <c:v>39940.0</c:v>
                </c:pt>
                <c:pt idx="302">
                  <c:v>39947.0</c:v>
                </c:pt>
                <c:pt idx="303">
                  <c:v>39954.0</c:v>
                </c:pt>
                <c:pt idx="304">
                  <c:v>39961.0</c:v>
                </c:pt>
                <c:pt idx="305">
                  <c:v>39968.0</c:v>
                </c:pt>
                <c:pt idx="306">
                  <c:v>39975.0</c:v>
                </c:pt>
                <c:pt idx="307">
                  <c:v>39982.0</c:v>
                </c:pt>
                <c:pt idx="308">
                  <c:v>39989.0</c:v>
                </c:pt>
                <c:pt idx="309">
                  <c:v>39996.0</c:v>
                </c:pt>
                <c:pt idx="310">
                  <c:v>40003.0</c:v>
                </c:pt>
                <c:pt idx="311">
                  <c:v>40010.0</c:v>
                </c:pt>
                <c:pt idx="312">
                  <c:v>40017.0</c:v>
                </c:pt>
                <c:pt idx="313">
                  <c:v>40024.0</c:v>
                </c:pt>
                <c:pt idx="314">
                  <c:v>40031.0</c:v>
                </c:pt>
                <c:pt idx="315">
                  <c:v>40038.0</c:v>
                </c:pt>
                <c:pt idx="316">
                  <c:v>40045.0</c:v>
                </c:pt>
                <c:pt idx="317">
                  <c:v>40052.0</c:v>
                </c:pt>
                <c:pt idx="318">
                  <c:v>40059.0</c:v>
                </c:pt>
                <c:pt idx="319">
                  <c:v>40066.0</c:v>
                </c:pt>
                <c:pt idx="320">
                  <c:v>40073.0</c:v>
                </c:pt>
                <c:pt idx="321">
                  <c:v>40080.0</c:v>
                </c:pt>
                <c:pt idx="322">
                  <c:v>40087.0</c:v>
                </c:pt>
                <c:pt idx="323">
                  <c:v>40094.0</c:v>
                </c:pt>
                <c:pt idx="324">
                  <c:v>40101.0</c:v>
                </c:pt>
                <c:pt idx="325">
                  <c:v>40108.0</c:v>
                </c:pt>
                <c:pt idx="326">
                  <c:v>40115.0</c:v>
                </c:pt>
                <c:pt idx="327">
                  <c:v>40122.0</c:v>
                </c:pt>
                <c:pt idx="328">
                  <c:v>40129.0</c:v>
                </c:pt>
                <c:pt idx="329">
                  <c:v>40136.0</c:v>
                </c:pt>
                <c:pt idx="330">
                  <c:v>40143.0</c:v>
                </c:pt>
                <c:pt idx="331">
                  <c:v>40150.0</c:v>
                </c:pt>
                <c:pt idx="332">
                  <c:v>40157.0</c:v>
                </c:pt>
                <c:pt idx="333">
                  <c:v>40164.0</c:v>
                </c:pt>
                <c:pt idx="334">
                  <c:v>40171.0</c:v>
                </c:pt>
                <c:pt idx="335">
                  <c:v>40178.0</c:v>
                </c:pt>
                <c:pt idx="336">
                  <c:v>40185.0</c:v>
                </c:pt>
                <c:pt idx="337">
                  <c:v>40192.0</c:v>
                </c:pt>
                <c:pt idx="338">
                  <c:v>40199.0</c:v>
                </c:pt>
                <c:pt idx="339">
                  <c:v>40206.0</c:v>
                </c:pt>
                <c:pt idx="340">
                  <c:v>40213.0</c:v>
                </c:pt>
                <c:pt idx="341">
                  <c:v>40220.0</c:v>
                </c:pt>
                <c:pt idx="342">
                  <c:v>40227.0</c:v>
                </c:pt>
                <c:pt idx="343">
                  <c:v>40234.0</c:v>
                </c:pt>
                <c:pt idx="344">
                  <c:v>40241.0</c:v>
                </c:pt>
                <c:pt idx="345">
                  <c:v>40248.0</c:v>
                </c:pt>
                <c:pt idx="346">
                  <c:v>40255.0</c:v>
                </c:pt>
                <c:pt idx="347">
                  <c:v>40262.0</c:v>
                </c:pt>
                <c:pt idx="348">
                  <c:v>40269.0</c:v>
                </c:pt>
                <c:pt idx="349">
                  <c:v>40276.0</c:v>
                </c:pt>
                <c:pt idx="350">
                  <c:v>40283.0</c:v>
                </c:pt>
                <c:pt idx="351">
                  <c:v>40290.0</c:v>
                </c:pt>
                <c:pt idx="352">
                  <c:v>40297.0</c:v>
                </c:pt>
                <c:pt idx="353">
                  <c:v>40304.0</c:v>
                </c:pt>
                <c:pt idx="354">
                  <c:v>40311.0</c:v>
                </c:pt>
                <c:pt idx="355">
                  <c:v>40318.0</c:v>
                </c:pt>
                <c:pt idx="356">
                  <c:v>40325.0</c:v>
                </c:pt>
                <c:pt idx="357">
                  <c:v>40332.0</c:v>
                </c:pt>
                <c:pt idx="358">
                  <c:v>40339.0</c:v>
                </c:pt>
                <c:pt idx="359">
                  <c:v>40346.0</c:v>
                </c:pt>
                <c:pt idx="360">
                  <c:v>40353.0</c:v>
                </c:pt>
                <c:pt idx="361">
                  <c:v>40360.0</c:v>
                </c:pt>
                <c:pt idx="362">
                  <c:v>40367.0</c:v>
                </c:pt>
                <c:pt idx="363">
                  <c:v>40374.0</c:v>
                </c:pt>
                <c:pt idx="364">
                  <c:v>40381.0</c:v>
                </c:pt>
                <c:pt idx="365">
                  <c:v>40388.0</c:v>
                </c:pt>
                <c:pt idx="366">
                  <c:v>40395.0</c:v>
                </c:pt>
                <c:pt idx="367">
                  <c:v>40402.0</c:v>
                </c:pt>
                <c:pt idx="368">
                  <c:v>40409.0</c:v>
                </c:pt>
                <c:pt idx="369">
                  <c:v>40416.0</c:v>
                </c:pt>
                <c:pt idx="370">
                  <c:v>40423.0</c:v>
                </c:pt>
                <c:pt idx="371">
                  <c:v>40430.0</c:v>
                </c:pt>
                <c:pt idx="372">
                  <c:v>40437.0</c:v>
                </c:pt>
                <c:pt idx="373">
                  <c:v>40444.0</c:v>
                </c:pt>
                <c:pt idx="374">
                  <c:v>40451.0</c:v>
                </c:pt>
                <c:pt idx="375">
                  <c:v>40458.0</c:v>
                </c:pt>
                <c:pt idx="376">
                  <c:v>40465.0</c:v>
                </c:pt>
                <c:pt idx="377">
                  <c:v>40472.0</c:v>
                </c:pt>
                <c:pt idx="378">
                  <c:v>40479.0</c:v>
                </c:pt>
                <c:pt idx="379">
                  <c:v>40486.0</c:v>
                </c:pt>
                <c:pt idx="380">
                  <c:v>40493.0</c:v>
                </c:pt>
                <c:pt idx="381">
                  <c:v>40500.0</c:v>
                </c:pt>
                <c:pt idx="382">
                  <c:v>40507.0</c:v>
                </c:pt>
                <c:pt idx="383">
                  <c:v>40514.0</c:v>
                </c:pt>
                <c:pt idx="384">
                  <c:v>40521.0</c:v>
                </c:pt>
                <c:pt idx="385">
                  <c:v>40528.0</c:v>
                </c:pt>
                <c:pt idx="386">
                  <c:v>40535.0</c:v>
                </c:pt>
                <c:pt idx="387">
                  <c:v>40542.0</c:v>
                </c:pt>
                <c:pt idx="388">
                  <c:v>40549.0</c:v>
                </c:pt>
                <c:pt idx="389">
                  <c:v>40556.0</c:v>
                </c:pt>
                <c:pt idx="390">
                  <c:v>40563.0</c:v>
                </c:pt>
                <c:pt idx="391">
                  <c:v>40570.0</c:v>
                </c:pt>
                <c:pt idx="392">
                  <c:v>40577.0</c:v>
                </c:pt>
                <c:pt idx="393">
                  <c:v>40584.0</c:v>
                </c:pt>
                <c:pt idx="394">
                  <c:v>40591.0</c:v>
                </c:pt>
                <c:pt idx="395">
                  <c:v>40598.0</c:v>
                </c:pt>
                <c:pt idx="396">
                  <c:v>40605.0</c:v>
                </c:pt>
                <c:pt idx="397">
                  <c:v>40612.0</c:v>
                </c:pt>
                <c:pt idx="398">
                  <c:v>40619.0</c:v>
                </c:pt>
                <c:pt idx="399">
                  <c:v>40626.0</c:v>
                </c:pt>
                <c:pt idx="400">
                  <c:v>40633.0</c:v>
                </c:pt>
                <c:pt idx="401">
                  <c:v>40640.0</c:v>
                </c:pt>
                <c:pt idx="402">
                  <c:v>40647.0</c:v>
                </c:pt>
                <c:pt idx="403">
                  <c:v>40654.0</c:v>
                </c:pt>
                <c:pt idx="404">
                  <c:v>40661.0</c:v>
                </c:pt>
                <c:pt idx="405">
                  <c:v>40668.0</c:v>
                </c:pt>
                <c:pt idx="406">
                  <c:v>40675.0</c:v>
                </c:pt>
                <c:pt idx="407">
                  <c:v>40682.0</c:v>
                </c:pt>
                <c:pt idx="408">
                  <c:v>40689.0</c:v>
                </c:pt>
                <c:pt idx="409">
                  <c:v>40696.0</c:v>
                </c:pt>
                <c:pt idx="410">
                  <c:v>40703.0</c:v>
                </c:pt>
                <c:pt idx="411">
                  <c:v>40710.0</c:v>
                </c:pt>
                <c:pt idx="412">
                  <c:v>40717.0</c:v>
                </c:pt>
                <c:pt idx="413">
                  <c:v>40724.0</c:v>
                </c:pt>
                <c:pt idx="414">
                  <c:v>40731.0</c:v>
                </c:pt>
                <c:pt idx="415">
                  <c:v>40738.0</c:v>
                </c:pt>
                <c:pt idx="416">
                  <c:v>40745.0</c:v>
                </c:pt>
                <c:pt idx="417">
                  <c:v>40752.0</c:v>
                </c:pt>
                <c:pt idx="418">
                  <c:v>40759.0</c:v>
                </c:pt>
                <c:pt idx="419">
                  <c:v>40766.0</c:v>
                </c:pt>
                <c:pt idx="420">
                  <c:v>40773.0</c:v>
                </c:pt>
                <c:pt idx="421">
                  <c:v>40780.0</c:v>
                </c:pt>
                <c:pt idx="422">
                  <c:v>40787.0</c:v>
                </c:pt>
                <c:pt idx="423">
                  <c:v>40794.0</c:v>
                </c:pt>
                <c:pt idx="424">
                  <c:v>40801.0</c:v>
                </c:pt>
                <c:pt idx="425">
                  <c:v>40808.0</c:v>
                </c:pt>
                <c:pt idx="426">
                  <c:v>40815.0</c:v>
                </c:pt>
                <c:pt idx="427">
                  <c:v>40822.0</c:v>
                </c:pt>
                <c:pt idx="428">
                  <c:v>40829.0</c:v>
                </c:pt>
                <c:pt idx="429">
                  <c:v>40836.0</c:v>
                </c:pt>
                <c:pt idx="430">
                  <c:v>40843.0</c:v>
                </c:pt>
                <c:pt idx="431">
                  <c:v>40850.0</c:v>
                </c:pt>
              </c:numCache>
            </c:numRef>
          </c:cat>
          <c:val>
            <c:numRef>
              <c:f>Data!$I$3:$I$481</c:f>
              <c:numCache>
                <c:formatCode>0.00%</c:formatCode>
                <c:ptCount val="479"/>
                <c:pt idx="0">
                  <c:v>0.0</c:v>
                </c:pt>
                <c:pt idx="1">
                  <c:v>0.00961066860344295</c:v>
                </c:pt>
                <c:pt idx="2">
                  <c:v>0.0176729371255062</c:v>
                </c:pt>
                <c:pt idx="3">
                  <c:v>0.00107499830459168</c:v>
                </c:pt>
                <c:pt idx="4">
                  <c:v>0.0562984968837299</c:v>
                </c:pt>
                <c:pt idx="5">
                  <c:v>0.0869562934653491</c:v>
                </c:pt>
                <c:pt idx="6">
                  <c:v>0.0840699427061344</c:v>
                </c:pt>
                <c:pt idx="7">
                  <c:v>0.0969900484996182</c:v>
                </c:pt>
                <c:pt idx="8">
                  <c:v>0.0875605151416376</c:v>
                </c:pt>
                <c:pt idx="9">
                  <c:v>0.0897590769977927</c:v>
                </c:pt>
                <c:pt idx="10">
                  <c:v>0.119113487356629</c:v>
                </c:pt>
                <c:pt idx="11">
                  <c:v>0.102231594974591</c:v>
                </c:pt>
                <c:pt idx="12">
                  <c:v>0.112266662583102</c:v>
                </c:pt>
                <c:pt idx="13">
                  <c:v>0.10547496592776</c:v>
                </c:pt>
                <c:pt idx="14">
                  <c:v>0.103802308818093</c:v>
                </c:pt>
                <c:pt idx="15">
                  <c:v>0.091699061728179</c:v>
                </c:pt>
                <c:pt idx="16">
                  <c:v>0.113677242369022</c:v>
                </c:pt>
                <c:pt idx="17">
                  <c:v>0.146243959423955</c:v>
                </c:pt>
                <c:pt idx="18">
                  <c:v>0.161437881330163</c:v>
                </c:pt>
                <c:pt idx="19">
                  <c:v>0.165643369203071</c:v>
                </c:pt>
                <c:pt idx="20">
                  <c:v>0.189701980018245</c:v>
                </c:pt>
                <c:pt idx="21">
                  <c:v>0.139989543158535</c:v>
                </c:pt>
                <c:pt idx="22">
                  <c:v>0.179201823603148</c:v>
                </c:pt>
                <c:pt idx="23">
                  <c:v>0.20999175265851</c:v>
                </c:pt>
                <c:pt idx="24">
                  <c:v>0.209536726921117</c:v>
                </c:pt>
                <c:pt idx="25">
                  <c:v>0.194522190161381</c:v>
                </c:pt>
                <c:pt idx="26">
                  <c:v>0.234713650990884</c:v>
                </c:pt>
                <c:pt idx="27">
                  <c:v>0.265409512225535</c:v>
                </c:pt>
                <c:pt idx="28">
                  <c:v>0.26710710824581</c:v>
                </c:pt>
                <c:pt idx="29">
                  <c:v>0.232807793190802</c:v>
                </c:pt>
                <c:pt idx="30">
                  <c:v>0.269039655055489</c:v>
                </c:pt>
                <c:pt idx="31">
                  <c:v>0.244744780876668</c:v>
                </c:pt>
                <c:pt idx="32">
                  <c:v>0.265528956481601</c:v>
                </c:pt>
                <c:pt idx="33">
                  <c:v>0.283172579449025</c:v>
                </c:pt>
                <c:pt idx="34">
                  <c:v>0.299032414020918</c:v>
                </c:pt>
                <c:pt idx="35">
                  <c:v>0.340990162256053</c:v>
                </c:pt>
                <c:pt idx="36">
                  <c:v>0.343730817274352</c:v>
                </c:pt>
                <c:pt idx="37">
                  <c:v>0.334474106191632</c:v>
                </c:pt>
                <c:pt idx="38">
                  <c:v>0.327461459538805</c:v>
                </c:pt>
                <c:pt idx="39">
                  <c:v>0.285927235259244</c:v>
                </c:pt>
                <c:pt idx="40">
                  <c:v>0.298303060266846</c:v>
                </c:pt>
                <c:pt idx="41">
                  <c:v>0.294240642986369</c:v>
                </c:pt>
                <c:pt idx="42">
                  <c:v>0.288757145326032</c:v>
                </c:pt>
                <c:pt idx="43">
                  <c:v>0.290848951143799</c:v>
                </c:pt>
                <c:pt idx="44">
                  <c:v>0.295924238214724</c:v>
                </c:pt>
                <c:pt idx="45">
                  <c:v>0.269543246039854</c:v>
                </c:pt>
                <c:pt idx="46">
                  <c:v>0.26172555385164</c:v>
                </c:pt>
                <c:pt idx="47">
                  <c:v>0.266494136074572</c:v>
                </c:pt>
                <c:pt idx="48">
                  <c:v>0.299632697974479</c:v>
                </c:pt>
                <c:pt idx="49">
                  <c:v>0.295498526635413</c:v>
                </c:pt>
                <c:pt idx="50">
                  <c:v>0.279804076418072</c:v>
                </c:pt>
                <c:pt idx="51">
                  <c:v>0.291067713517546</c:v>
                </c:pt>
                <c:pt idx="52">
                  <c:v>0.255914787680178</c:v>
                </c:pt>
                <c:pt idx="53">
                  <c:v>0.256135737677662</c:v>
                </c:pt>
                <c:pt idx="54">
                  <c:v>0.239438918263814</c:v>
                </c:pt>
                <c:pt idx="55">
                  <c:v>0.24400273890492</c:v>
                </c:pt>
                <c:pt idx="56">
                  <c:v>0.27522231726232</c:v>
                </c:pt>
                <c:pt idx="57">
                  <c:v>0.280405672945876</c:v>
                </c:pt>
                <c:pt idx="58">
                  <c:v>0.292238092217091</c:v>
                </c:pt>
                <c:pt idx="59">
                  <c:v>0.289806329670522</c:v>
                </c:pt>
                <c:pt idx="60">
                  <c:v>0.307622774913206</c:v>
                </c:pt>
                <c:pt idx="61">
                  <c:v>0.294964746443471</c:v>
                </c:pt>
                <c:pt idx="62">
                  <c:v>0.282063016689382</c:v>
                </c:pt>
                <c:pt idx="63">
                  <c:v>0.257862210331272</c:v>
                </c:pt>
                <c:pt idx="64">
                  <c:v>0.238706939361258</c:v>
                </c:pt>
                <c:pt idx="65">
                  <c:v>0.259744441794989</c:v>
                </c:pt>
                <c:pt idx="66">
                  <c:v>0.223383510129792</c:v>
                </c:pt>
                <c:pt idx="67">
                  <c:v>0.191960482764806</c:v>
                </c:pt>
                <c:pt idx="68">
                  <c:v>0.2253283076324</c:v>
                </c:pt>
                <c:pt idx="69">
                  <c:v>0.236561755524297</c:v>
                </c:pt>
                <c:pt idx="70">
                  <c:v>0.232630595668067</c:v>
                </c:pt>
                <c:pt idx="71">
                  <c:v>0.24108051111641</c:v>
                </c:pt>
                <c:pt idx="72">
                  <c:v>0.248235790836919</c:v>
                </c:pt>
                <c:pt idx="73">
                  <c:v>0.219484289580129</c:v>
                </c:pt>
                <c:pt idx="74">
                  <c:v>0.244459077216555</c:v>
                </c:pt>
                <c:pt idx="75">
                  <c:v>0.237193978784425</c:v>
                </c:pt>
                <c:pt idx="76">
                  <c:v>0.239855879348176</c:v>
                </c:pt>
                <c:pt idx="77">
                  <c:v>0.230663921928084</c:v>
                </c:pt>
                <c:pt idx="78">
                  <c:v>0.262121513748121</c:v>
                </c:pt>
                <c:pt idx="79">
                  <c:v>0.295575530990972</c:v>
                </c:pt>
                <c:pt idx="80">
                  <c:v>0.305737480776256</c:v>
                </c:pt>
                <c:pt idx="81">
                  <c:v>0.265144372228554</c:v>
                </c:pt>
                <c:pt idx="82">
                  <c:v>0.270571866721212</c:v>
                </c:pt>
                <c:pt idx="83">
                  <c:v>0.292601675282258</c:v>
                </c:pt>
                <c:pt idx="84">
                  <c:v>0.290577248275606</c:v>
                </c:pt>
                <c:pt idx="85">
                  <c:v>0.300121850642177</c:v>
                </c:pt>
                <c:pt idx="86">
                  <c:v>0.319947409525351</c:v>
                </c:pt>
                <c:pt idx="87">
                  <c:v>0.318666774589438</c:v>
                </c:pt>
                <c:pt idx="88">
                  <c:v>0.29144398480039</c:v>
                </c:pt>
                <c:pt idx="89">
                  <c:v>0.295978053758666</c:v>
                </c:pt>
                <c:pt idx="90">
                  <c:v>0.275531647258798</c:v>
                </c:pt>
                <c:pt idx="91">
                  <c:v>0.289297925913935</c:v>
                </c:pt>
                <c:pt idx="92">
                  <c:v>0.321112537927927</c:v>
                </c:pt>
                <c:pt idx="93">
                  <c:v>0.313322847323552</c:v>
                </c:pt>
                <c:pt idx="94">
                  <c:v>0.314561042358958</c:v>
                </c:pt>
                <c:pt idx="95">
                  <c:v>0.327057624196869</c:v>
                </c:pt>
                <c:pt idx="96">
                  <c:v>0.332199415029413</c:v>
                </c:pt>
                <c:pt idx="97">
                  <c:v>0.330775709501069</c:v>
                </c:pt>
                <c:pt idx="98">
                  <c:v>0.311827825261366</c:v>
                </c:pt>
                <c:pt idx="99">
                  <c:v>0.282560919852029</c:v>
                </c:pt>
                <c:pt idx="100">
                  <c:v>0.279267233552898</c:v>
                </c:pt>
                <c:pt idx="101">
                  <c:v>0.299968716980554</c:v>
                </c:pt>
                <c:pt idx="102">
                  <c:v>0.270339103555545</c:v>
                </c:pt>
                <c:pt idx="103">
                  <c:v>0.275990173194171</c:v>
                </c:pt>
                <c:pt idx="104">
                  <c:v>0.285627093282464</c:v>
                </c:pt>
                <c:pt idx="105">
                  <c:v>0.305289455434823</c:v>
                </c:pt>
                <c:pt idx="106">
                  <c:v>0.298304810365836</c:v>
                </c:pt>
                <c:pt idx="107">
                  <c:v>0.31678629322471</c:v>
                </c:pt>
                <c:pt idx="108">
                  <c:v>0.307423263628349</c:v>
                </c:pt>
                <c:pt idx="109">
                  <c:v>0.301459801320012</c:v>
                </c:pt>
                <c:pt idx="110">
                  <c:v>0.314396095529153</c:v>
                </c:pt>
                <c:pt idx="111">
                  <c:v>0.324208900565938</c:v>
                </c:pt>
                <c:pt idx="112">
                  <c:v>0.310744513986572</c:v>
                </c:pt>
                <c:pt idx="113">
                  <c:v>0.315349899478689</c:v>
                </c:pt>
                <c:pt idx="114">
                  <c:v>0.345130021416836</c:v>
                </c:pt>
                <c:pt idx="115">
                  <c:v>0.360134932632127</c:v>
                </c:pt>
                <c:pt idx="116">
                  <c:v>0.365072836932339</c:v>
                </c:pt>
                <c:pt idx="117">
                  <c:v>0.367912810068319</c:v>
                </c:pt>
                <c:pt idx="118">
                  <c:v>0.362014538947359</c:v>
                </c:pt>
                <c:pt idx="119">
                  <c:v>0.363481996950453</c:v>
                </c:pt>
                <c:pt idx="120">
                  <c:v>0.349937543342295</c:v>
                </c:pt>
                <c:pt idx="121">
                  <c:v>0.341416311360111</c:v>
                </c:pt>
                <c:pt idx="122">
                  <c:v>0.344771688648639</c:v>
                </c:pt>
                <c:pt idx="123">
                  <c:v>0.362411811418083</c:v>
                </c:pt>
                <c:pt idx="124">
                  <c:v>0.364620873868178</c:v>
                </c:pt>
                <c:pt idx="125">
                  <c:v>0.342250671053581</c:v>
                </c:pt>
                <c:pt idx="126">
                  <c:v>0.349965982450882</c:v>
                </c:pt>
                <c:pt idx="127">
                  <c:v>0.324510792641709</c:v>
                </c:pt>
                <c:pt idx="128">
                  <c:v>0.315597976010518</c:v>
                </c:pt>
                <c:pt idx="129">
                  <c:v>0.332284732355174</c:v>
                </c:pt>
                <c:pt idx="130">
                  <c:v>0.327775164782758</c:v>
                </c:pt>
                <c:pt idx="131">
                  <c:v>0.358922551556823</c:v>
                </c:pt>
                <c:pt idx="132">
                  <c:v>0.376486107495455</c:v>
                </c:pt>
                <c:pt idx="133">
                  <c:v>0.379004499942028</c:v>
                </c:pt>
                <c:pt idx="134">
                  <c:v>0.394322678876524</c:v>
                </c:pt>
                <c:pt idx="135">
                  <c:v>0.393376312847695</c:v>
                </c:pt>
                <c:pt idx="136">
                  <c:v>0.381205686946668</c:v>
                </c:pt>
                <c:pt idx="137">
                  <c:v>0.394445185805822</c:v>
                </c:pt>
                <c:pt idx="138">
                  <c:v>0.389627600811171</c:v>
                </c:pt>
                <c:pt idx="139">
                  <c:v>0.370429452415902</c:v>
                </c:pt>
                <c:pt idx="140">
                  <c:v>0.402980418579926</c:v>
                </c:pt>
                <c:pt idx="141">
                  <c:v>0.411802230063638</c:v>
                </c:pt>
                <c:pt idx="142">
                  <c:v>0.38024532012592</c:v>
                </c:pt>
                <c:pt idx="143">
                  <c:v>0.379542217856698</c:v>
                </c:pt>
                <c:pt idx="144">
                  <c:v>0.365985951080358</c:v>
                </c:pt>
                <c:pt idx="145">
                  <c:v>0.377545792433884</c:v>
                </c:pt>
                <c:pt idx="146">
                  <c:v>0.397569550027673</c:v>
                </c:pt>
                <c:pt idx="147">
                  <c:v>0.403000107193563</c:v>
                </c:pt>
                <c:pt idx="148">
                  <c:v>0.402755530859714</c:v>
                </c:pt>
                <c:pt idx="149">
                  <c:v>0.396029900441244</c:v>
                </c:pt>
                <c:pt idx="150">
                  <c:v>0.415082790620344</c:v>
                </c:pt>
                <c:pt idx="151">
                  <c:v>0.425621449213221</c:v>
                </c:pt>
                <c:pt idx="152">
                  <c:v>0.423761969036374</c:v>
                </c:pt>
                <c:pt idx="153">
                  <c:v>0.423782532699506</c:v>
                </c:pt>
                <c:pt idx="154">
                  <c:v>0.418012018804814</c:v>
                </c:pt>
                <c:pt idx="155">
                  <c:v>0.434139180997425</c:v>
                </c:pt>
                <c:pt idx="156">
                  <c:v>0.428257973341617</c:v>
                </c:pt>
                <c:pt idx="157">
                  <c:v>0.422649781128245</c:v>
                </c:pt>
                <c:pt idx="158">
                  <c:v>0.399551974658567</c:v>
                </c:pt>
                <c:pt idx="159">
                  <c:v>0.373734951883216</c:v>
                </c:pt>
                <c:pt idx="160">
                  <c:v>0.370111371924475</c:v>
                </c:pt>
                <c:pt idx="161">
                  <c:v>0.372283244771032</c:v>
                </c:pt>
                <c:pt idx="162">
                  <c:v>0.344355602613773</c:v>
                </c:pt>
                <c:pt idx="163">
                  <c:v>0.342139539767718</c:v>
                </c:pt>
                <c:pt idx="164">
                  <c:v>0.332643065123371</c:v>
                </c:pt>
                <c:pt idx="165">
                  <c:v>0.361151740145302</c:v>
                </c:pt>
                <c:pt idx="166">
                  <c:v>0.349919604827648</c:v>
                </c:pt>
                <c:pt idx="167">
                  <c:v>0.328835724770682</c:v>
                </c:pt>
                <c:pt idx="168">
                  <c:v>0.324906315013443</c:v>
                </c:pt>
                <c:pt idx="169">
                  <c:v>0.35470743813947</c:v>
                </c:pt>
                <c:pt idx="170">
                  <c:v>0.338939921289298</c:v>
                </c:pt>
                <c:pt idx="171">
                  <c:v>0.331975572993347</c:v>
                </c:pt>
                <c:pt idx="172">
                  <c:v>0.36537377607921</c:v>
                </c:pt>
                <c:pt idx="173">
                  <c:v>0.361321859392672</c:v>
                </c:pt>
                <c:pt idx="174">
                  <c:v>0.376535097141432</c:v>
                </c:pt>
                <c:pt idx="175">
                  <c:v>0.371101103656175</c:v>
                </c:pt>
                <c:pt idx="176">
                  <c:v>0.393635934782561</c:v>
                </c:pt>
                <c:pt idx="177">
                  <c:v>0.382481186217096</c:v>
                </c:pt>
                <c:pt idx="178">
                  <c:v>0.383806622812103</c:v>
                </c:pt>
                <c:pt idx="179">
                  <c:v>0.402080974455118</c:v>
                </c:pt>
                <c:pt idx="180">
                  <c:v>0.424507463515905</c:v>
                </c:pt>
                <c:pt idx="181">
                  <c:v>0.42669163474559</c:v>
                </c:pt>
                <c:pt idx="182">
                  <c:v>0.427679128100683</c:v>
                </c:pt>
                <c:pt idx="183">
                  <c:v>0.427249478798645</c:v>
                </c:pt>
                <c:pt idx="184">
                  <c:v>0.452278081979012</c:v>
                </c:pt>
                <c:pt idx="185">
                  <c:v>0.475256006667877</c:v>
                </c:pt>
                <c:pt idx="186">
                  <c:v>0.48299013162932</c:v>
                </c:pt>
                <c:pt idx="187">
                  <c:v>0.48303388410407</c:v>
                </c:pt>
                <c:pt idx="188">
                  <c:v>0.483077636578819</c:v>
                </c:pt>
                <c:pt idx="189">
                  <c:v>0.483121389053568</c:v>
                </c:pt>
                <c:pt idx="190">
                  <c:v>0.483165141528318</c:v>
                </c:pt>
                <c:pt idx="191">
                  <c:v>0.514404408499356</c:v>
                </c:pt>
                <c:pt idx="192">
                  <c:v>0.514448160974105</c:v>
                </c:pt>
                <c:pt idx="193">
                  <c:v>0.514491913448855</c:v>
                </c:pt>
                <c:pt idx="194">
                  <c:v>0.514535665923604</c:v>
                </c:pt>
                <c:pt idx="195">
                  <c:v>0.485877794962778</c:v>
                </c:pt>
                <c:pt idx="196">
                  <c:v>0.485921547437527</c:v>
                </c:pt>
                <c:pt idx="197">
                  <c:v>0.485965299912276</c:v>
                </c:pt>
                <c:pt idx="198">
                  <c:v>0.486009052387026</c:v>
                </c:pt>
                <c:pt idx="199">
                  <c:v>0.442212825162923</c:v>
                </c:pt>
                <c:pt idx="200">
                  <c:v>0.442256577637673</c:v>
                </c:pt>
                <c:pt idx="201">
                  <c:v>0.442300330112422</c:v>
                </c:pt>
                <c:pt idx="202">
                  <c:v>0.442344082587171</c:v>
                </c:pt>
                <c:pt idx="203">
                  <c:v>0.442387835061921</c:v>
                </c:pt>
                <c:pt idx="204">
                  <c:v>0.456257369557466</c:v>
                </c:pt>
                <c:pt idx="205">
                  <c:v>0.456301122032215</c:v>
                </c:pt>
                <c:pt idx="206">
                  <c:v>0.456344874506964</c:v>
                </c:pt>
                <c:pt idx="207">
                  <c:v>0.456388626981714</c:v>
                </c:pt>
                <c:pt idx="208">
                  <c:v>0.527311388550415</c:v>
                </c:pt>
                <c:pt idx="209">
                  <c:v>0.527355141025164</c:v>
                </c:pt>
                <c:pt idx="210">
                  <c:v>0.527398893499914</c:v>
                </c:pt>
                <c:pt idx="211">
                  <c:v>0.527442645974663</c:v>
                </c:pt>
                <c:pt idx="212">
                  <c:v>0.559950734713432</c:v>
                </c:pt>
                <c:pt idx="213">
                  <c:v>0.559950734713432</c:v>
                </c:pt>
                <c:pt idx="214">
                  <c:v>0.559950734713432</c:v>
                </c:pt>
                <c:pt idx="215">
                  <c:v>0.559950734713432</c:v>
                </c:pt>
                <c:pt idx="216">
                  <c:v>0.559950734713432</c:v>
                </c:pt>
                <c:pt idx="217">
                  <c:v>0.590796229411726</c:v>
                </c:pt>
                <c:pt idx="218">
                  <c:v>0.590839981886476</c:v>
                </c:pt>
                <c:pt idx="219">
                  <c:v>0.590883734361225</c:v>
                </c:pt>
                <c:pt idx="220">
                  <c:v>0.590927486835974</c:v>
                </c:pt>
                <c:pt idx="221">
                  <c:v>0.600290516432336</c:v>
                </c:pt>
                <c:pt idx="222">
                  <c:v>0.600334268907085</c:v>
                </c:pt>
                <c:pt idx="223">
                  <c:v>0.600378021381835</c:v>
                </c:pt>
                <c:pt idx="224">
                  <c:v>0.600421773856584</c:v>
                </c:pt>
                <c:pt idx="225">
                  <c:v>0.600465526331333</c:v>
                </c:pt>
                <c:pt idx="226">
                  <c:v>0.635555011080314</c:v>
                </c:pt>
                <c:pt idx="227">
                  <c:v>0.635598763555064</c:v>
                </c:pt>
                <c:pt idx="228">
                  <c:v>0.635642516029813</c:v>
                </c:pt>
                <c:pt idx="229">
                  <c:v>0.635686268504562</c:v>
                </c:pt>
                <c:pt idx="230">
                  <c:v>0.731110415932901</c:v>
                </c:pt>
                <c:pt idx="231">
                  <c:v>0.731154168407651</c:v>
                </c:pt>
                <c:pt idx="232">
                  <c:v>0.7311979208824</c:v>
                </c:pt>
                <c:pt idx="233">
                  <c:v>0.726297643710472</c:v>
                </c:pt>
                <c:pt idx="234">
                  <c:v>0.726297643710472</c:v>
                </c:pt>
                <c:pt idx="235">
                  <c:v>0.706346515224767</c:v>
                </c:pt>
                <c:pt idx="236">
                  <c:v>0.684470277850091</c:v>
                </c:pt>
                <c:pt idx="237">
                  <c:v>0.641330337747229</c:v>
                </c:pt>
                <c:pt idx="238">
                  <c:v>0.624377128831349</c:v>
                </c:pt>
                <c:pt idx="239">
                  <c:v>0.705690228103527</c:v>
                </c:pt>
                <c:pt idx="240">
                  <c:v>0.614685080624873</c:v>
                </c:pt>
                <c:pt idx="241">
                  <c:v>0.52494875491395</c:v>
                </c:pt>
                <c:pt idx="242">
                  <c:v>0.626804516130444</c:v>
                </c:pt>
                <c:pt idx="243">
                  <c:v>0.558331893147706</c:v>
                </c:pt>
                <c:pt idx="244">
                  <c:v>0.581389447340615</c:v>
                </c:pt>
                <c:pt idx="245">
                  <c:v>0.610441090574186</c:v>
                </c:pt>
                <c:pt idx="246">
                  <c:v>0.502766250216028</c:v>
                </c:pt>
                <c:pt idx="247">
                  <c:v>0.523373665822973</c:v>
                </c:pt>
                <c:pt idx="248">
                  <c:v>0.595433991735158</c:v>
                </c:pt>
                <c:pt idx="249">
                  <c:v>0.568744982138052</c:v>
                </c:pt>
                <c:pt idx="250">
                  <c:v>0.587646051229773</c:v>
                </c:pt>
                <c:pt idx="251">
                  <c:v>0.631179763605379</c:v>
                </c:pt>
                <c:pt idx="252">
                  <c:v>0.69199570350698</c:v>
                </c:pt>
                <c:pt idx="253">
                  <c:v>0.685739099617822</c:v>
                </c:pt>
                <c:pt idx="254">
                  <c:v>0.654674842545781</c:v>
                </c:pt>
                <c:pt idx="255">
                  <c:v>0.691908198557481</c:v>
                </c:pt>
                <c:pt idx="256">
                  <c:v>0.648374486181875</c:v>
                </c:pt>
                <c:pt idx="257">
                  <c:v>0.609916060877193</c:v>
                </c:pt>
                <c:pt idx="258">
                  <c:v>0.569051249461298</c:v>
                </c:pt>
                <c:pt idx="259">
                  <c:v>0.575152532065095</c:v>
                </c:pt>
                <c:pt idx="260">
                  <c:v>0.577068015409622</c:v>
                </c:pt>
                <c:pt idx="261">
                  <c:v>0.630264461833623</c:v>
                </c:pt>
                <c:pt idx="262">
                  <c:v>0.619028388793241</c:v>
                </c:pt>
                <c:pt idx="263">
                  <c:v>0.612013554516678</c:v>
                </c:pt>
                <c:pt idx="264">
                  <c:v>0.6184071036518</c:v>
                </c:pt>
                <c:pt idx="265">
                  <c:v>0.58582419818121</c:v>
                </c:pt>
                <c:pt idx="266">
                  <c:v>0.535932813699775</c:v>
                </c:pt>
                <c:pt idx="267">
                  <c:v>0.535713613801281</c:v>
                </c:pt>
                <c:pt idx="268">
                  <c:v>0.489888584323051</c:v>
                </c:pt>
                <c:pt idx="269">
                  <c:v>0.512816631190702</c:v>
                </c:pt>
                <c:pt idx="270">
                  <c:v>0.407526738231131</c:v>
                </c:pt>
                <c:pt idx="271">
                  <c:v>0.142384991151062</c:v>
                </c:pt>
                <c:pt idx="272">
                  <c:v>0.194442560657337</c:v>
                </c:pt>
                <c:pt idx="273">
                  <c:v>0.140621766418663</c:v>
                </c:pt>
                <c:pt idx="274">
                  <c:v>0.176637053533341</c:v>
                </c:pt>
                <c:pt idx="275">
                  <c:v>0.166054642465715</c:v>
                </c:pt>
                <c:pt idx="276">
                  <c:v>0.152532940144427</c:v>
                </c:pt>
                <c:pt idx="277">
                  <c:v>0.14322328856726</c:v>
                </c:pt>
                <c:pt idx="278">
                  <c:v>0.121802514454724</c:v>
                </c:pt>
                <c:pt idx="279">
                  <c:v>0.125874994804394</c:v>
                </c:pt>
                <c:pt idx="280">
                  <c:v>0.133242911552185</c:v>
                </c:pt>
                <c:pt idx="281">
                  <c:v>0.142194667885903</c:v>
                </c:pt>
                <c:pt idx="282">
                  <c:v>0.137491714375094</c:v>
                </c:pt>
                <c:pt idx="283">
                  <c:v>0.145830498537574</c:v>
                </c:pt>
                <c:pt idx="284">
                  <c:v>0.134953633314884</c:v>
                </c:pt>
                <c:pt idx="285">
                  <c:v>0.0935156644797721</c:v>
                </c:pt>
                <c:pt idx="286">
                  <c:v>0.0225285867731892</c:v>
                </c:pt>
                <c:pt idx="287">
                  <c:v>0.0375899386809066</c:v>
                </c:pt>
                <c:pt idx="288">
                  <c:v>0.0594810518969979</c:v>
                </c:pt>
                <c:pt idx="289">
                  <c:v>0.0275417453299702</c:v>
                </c:pt>
                <c:pt idx="290">
                  <c:v>0.0262681107900167</c:v>
                </c:pt>
                <c:pt idx="291">
                  <c:v>-0.0370176563111851</c:v>
                </c:pt>
                <c:pt idx="292">
                  <c:v>-0.0660793626139479</c:v>
                </c:pt>
                <c:pt idx="293">
                  <c:v>-0.0648941080729879</c:v>
                </c:pt>
                <c:pt idx="294">
                  <c:v>-0.0238236600257702</c:v>
                </c:pt>
                <c:pt idx="295">
                  <c:v>0.0461391722469304</c:v>
                </c:pt>
                <c:pt idx="296">
                  <c:v>0.00517285508961618</c:v>
                </c:pt>
                <c:pt idx="297">
                  <c:v>0.118091429546484</c:v>
                </c:pt>
                <c:pt idx="298">
                  <c:v>0.139556831183264</c:v>
                </c:pt>
                <c:pt idx="299">
                  <c:v>0.12226060286535</c:v>
                </c:pt>
                <c:pt idx="300">
                  <c:v>0.168095695412772</c:v>
                </c:pt>
                <c:pt idx="301">
                  <c:v>0.198546105264079</c:v>
                </c:pt>
                <c:pt idx="302">
                  <c:v>0.176974166351284</c:v>
                </c:pt>
                <c:pt idx="303">
                  <c:v>0.193464255321942</c:v>
                </c:pt>
                <c:pt idx="304">
                  <c:v>0.206939142495247</c:v>
                </c:pt>
                <c:pt idx="305">
                  <c:v>0.235257931776766</c:v>
                </c:pt>
                <c:pt idx="306">
                  <c:v>0.313475980985175</c:v>
                </c:pt>
                <c:pt idx="307">
                  <c:v>0.238172721644568</c:v>
                </c:pt>
                <c:pt idx="308">
                  <c:v>0.234163244858537</c:v>
                </c:pt>
                <c:pt idx="309">
                  <c:v>0.238787006390049</c:v>
                </c:pt>
                <c:pt idx="310">
                  <c:v>0.181141808333534</c:v>
                </c:pt>
                <c:pt idx="311">
                  <c:v>0.254729533139218</c:v>
                </c:pt>
                <c:pt idx="312">
                  <c:v>0.299561381440638</c:v>
                </c:pt>
                <c:pt idx="313">
                  <c:v>0.308958537967304</c:v>
                </c:pt>
                <c:pt idx="314">
                  <c:v>0.314807368791797</c:v>
                </c:pt>
                <c:pt idx="315">
                  <c:v>0.34893998691801</c:v>
                </c:pt>
                <c:pt idx="316">
                  <c:v>0.332059901513179</c:v>
                </c:pt>
                <c:pt idx="317">
                  <c:v>0.343460864505149</c:v>
                </c:pt>
                <c:pt idx="318">
                  <c:v>0.343028590054625</c:v>
                </c:pt>
                <c:pt idx="319">
                  <c:v>0.392094365337539</c:v>
                </c:pt>
                <c:pt idx="320">
                  <c:v>0.41578974179477</c:v>
                </c:pt>
                <c:pt idx="321">
                  <c:v>0.38379408335284</c:v>
                </c:pt>
                <c:pt idx="322">
                  <c:v>0.362036852709481</c:v>
                </c:pt>
                <c:pt idx="323">
                  <c:v>0.419913063832673</c:v>
                </c:pt>
                <c:pt idx="324">
                  <c:v>0.45357884305331</c:v>
                </c:pt>
                <c:pt idx="325">
                  <c:v>0.440306529838094</c:v>
                </c:pt>
                <c:pt idx="326">
                  <c:v>0.417447174355799</c:v>
                </c:pt>
                <c:pt idx="327">
                  <c:v>0.427570621963305</c:v>
                </c:pt>
                <c:pt idx="328">
                  <c:v>0.436596319979349</c:v>
                </c:pt>
                <c:pt idx="329">
                  <c:v>0.441231894679043</c:v>
                </c:pt>
                <c:pt idx="330">
                  <c:v>0.450958069815824</c:v>
                </c:pt>
                <c:pt idx="331">
                  <c:v>0.462299523754313</c:v>
                </c:pt>
                <c:pt idx="332">
                  <c:v>0.465498329749276</c:v>
                </c:pt>
                <c:pt idx="333">
                  <c:v>0.46124558920364</c:v>
                </c:pt>
                <c:pt idx="334">
                  <c:v>0.496015803393879</c:v>
                </c:pt>
                <c:pt idx="335">
                  <c:v>0.480983709641076</c:v>
                </c:pt>
                <c:pt idx="336">
                  <c:v>0.538246704454221</c:v>
                </c:pt>
                <c:pt idx="337">
                  <c:v>0.551268368492093</c:v>
                </c:pt>
                <c:pt idx="338">
                  <c:v>0.515056586388168</c:v>
                </c:pt>
                <c:pt idx="339">
                  <c:v>0.419985449239473</c:v>
                </c:pt>
                <c:pt idx="340">
                  <c:v>0.444034240686739</c:v>
                </c:pt>
                <c:pt idx="341">
                  <c:v>0.486445702085024</c:v>
                </c:pt>
                <c:pt idx="342">
                  <c:v>0.470291225659952</c:v>
                </c:pt>
                <c:pt idx="343">
                  <c:v>0.499255962805453</c:v>
                </c:pt>
                <c:pt idx="344">
                  <c:v>0.51521073109006</c:v>
                </c:pt>
                <c:pt idx="345">
                  <c:v>0.530283324639272</c:v>
                </c:pt>
                <c:pt idx="346">
                  <c:v>0.545355918188483</c:v>
                </c:pt>
                <c:pt idx="347">
                  <c:v>0.560428511737695</c:v>
                </c:pt>
                <c:pt idx="348">
                  <c:v>0.57287609299151</c:v>
                </c:pt>
                <c:pt idx="349">
                  <c:v>0.582449569803792</c:v>
                </c:pt>
                <c:pt idx="350">
                  <c:v>0.626283422887357</c:v>
                </c:pt>
                <c:pt idx="351">
                  <c:v>0.629685204444376</c:v>
                </c:pt>
                <c:pt idx="352">
                  <c:v>0.581995493932626</c:v>
                </c:pt>
                <c:pt idx="353">
                  <c:v>0.459445967662546</c:v>
                </c:pt>
                <c:pt idx="354">
                  <c:v>0.509532570436015</c:v>
                </c:pt>
                <c:pt idx="355">
                  <c:v>0.47306663283142</c:v>
                </c:pt>
                <c:pt idx="356">
                  <c:v>0.436600257702076</c:v>
                </c:pt>
                <c:pt idx="357">
                  <c:v>0.402839971385882</c:v>
                </c:pt>
                <c:pt idx="358">
                  <c:v>0.43735192521827</c:v>
                </c:pt>
                <c:pt idx="359">
                  <c:v>0.468832268325177</c:v>
                </c:pt>
                <c:pt idx="360">
                  <c:v>0.409377121393429</c:v>
                </c:pt>
                <c:pt idx="361">
                  <c:v>0.416442089443184</c:v>
                </c:pt>
                <c:pt idx="362">
                  <c:v>0.439988644045179</c:v>
                </c:pt>
                <c:pt idx="363">
                  <c:v>0.444859968016941</c:v>
                </c:pt>
                <c:pt idx="364">
                  <c:v>0.451990982614954</c:v>
                </c:pt>
                <c:pt idx="365">
                  <c:v>0.477087564890389</c:v>
                </c:pt>
                <c:pt idx="366">
                  <c:v>0.440152958651724</c:v>
                </c:pt>
                <c:pt idx="367">
                  <c:v>0.403217994517815</c:v>
                </c:pt>
                <c:pt idx="368">
                  <c:v>0.366283411905486</c:v>
                </c:pt>
                <c:pt idx="369">
                  <c:v>0.446092322534493</c:v>
                </c:pt>
                <c:pt idx="370">
                  <c:v>0.43858502965324</c:v>
                </c:pt>
                <c:pt idx="371">
                  <c:v>0.45095357206142</c:v>
                </c:pt>
                <c:pt idx="372">
                  <c:v>0.43519674219073</c:v>
                </c:pt>
                <c:pt idx="373">
                  <c:v>0.458161794026475</c:v>
                </c:pt>
                <c:pt idx="374">
                  <c:v>0.465725428282037</c:v>
                </c:pt>
                <c:pt idx="375">
                  <c:v>0.493941450875815</c:v>
                </c:pt>
                <c:pt idx="376">
                  <c:v>0.503361202055491</c:v>
                </c:pt>
                <c:pt idx="377">
                  <c:v>0.491959388952938</c:v>
                </c:pt>
                <c:pt idx="378">
                  <c:v>0.487258711445866</c:v>
                </c:pt>
                <c:pt idx="379">
                  <c:v>0.603810820862055</c:v>
                </c:pt>
                <c:pt idx="380">
                  <c:v>0.613183325494348</c:v>
                </c:pt>
                <c:pt idx="381">
                  <c:v>0.611841169766165</c:v>
                </c:pt>
                <c:pt idx="382">
                  <c:v>0.610276572956157</c:v>
                </c:pt>
                <c:pt idx="383">
                  <c:v>0.614927023497266</c:v>
                </c:pt>
                <c:pt idx="384">
                  <c:v>0.619577474038375</c:v>
                </c:pt>
                <c:pt idx="385">
                  <c:v>0.624227924579483</c:v>
                </c:pt>
                <c:pt idx="386">
                  <c:v>0.628878713327222</c:v>
                </c:pt>
                <c:pt idx="387">
                  <c:v>0.633145686552896</c:v>
                </c:pt>
                <c:pt idx="388">
                  <c:v>0.654466994664385</c:v>
                </c:pt>
                <c:pt idx="389">
                  <c:v>0.683638980829853</c:v>
                </c:pt>
                <c:pt idx="390">
                  <c:v>0.670607597179715</c:v>
                </c:pt>
                <c:pt idx="391">
                  <c:v>0.68414009017385</c:v>
                </c:pt>
                <c:pt idx="392">
                  <c:v>0.715290355860753</c:v>
                </c:pt>
                <c:pt idx="393">
                  <c:v>0.706167567603043</c:v>
                </c:pt>
                <c:pt idx="394">
                  <c:v>0.696082541231238</c:v>
                </c:pt>
                <c:pt idx="395">
                  <c:v>0.69719393503195</c:v>
                </c:pt>
                <c:pt idx="396">
                  <c:v>0.703725920497378</c:v>
                </c:pt>
                <c:pt idx="397">
                  <c:v>0.69194465661964</c:v>
                </c:pt>
                <c:pt idx="398">
                  <c:v>0.656468305926054</c:v>
                </c:pt>
                <c:pt idx="399">
                  <c:v>0.706603110800955</c:v>
                </c:pt>
                <c:pt idx="400">
                  <c:v>0.746604821085192</c:v>
                </c:pt>
                <c:pt idx="401">
                  <c:v>0.736421258014906</c:v>
                </c:pt>
                <c:pt idx="402">
                  <c:v>0.728003990225697</c:v>
                </c:pt>
                <c:pt idx="403">
                  <c:v>0.761212118560456</c:v>
                </c:pt>
                <c:pt idx="404">
                  <c:v>0.772981534268032</c:v>
                </c:pt>
                <c:pt idx="405">
                  <c:v>0.727217320729704</c:v>
                </c:pt>
                <c:pt idx="406">
                  <c:v>0.751409376592863</c:v>
                </c:pt>
                <c:pt idx="407">
                  <c:v>0.744917384389555</c:v>
                </c:pt>
                <c:pt idx="408">
                  <c:v>0.676328379823984</c:v>
                </c:pt>
                <c:pt idx="409">
                  <c:v>0.66540688707705</c:v>
                </c:pt>
                <c:pt idx="410">
                  <c:v>0.625272741989469</c:v>
                </c:pt>
                <c:pt idx="411">
                  <c:v>0.610680416611065</c:v>
                </c:pt>
                <c:pt idx="412">
                  <c:v>0.637903206400112</c:v>
                </c:pt>
                <c:pt idx="413">
                  <c:v>0.667293493788243</c:v>
                </c:pt>
                <c:pt idx="414">
                  <c:v>0.700309986283599</c:v>
                </c:pt>
                <c:pt idx="415">
                  <c:v>0.654093372156363</c:v>
                </c:pt>
                <c:pt idx="416">
                  <c:v>0.677328561396754</c:v>
                </c:pt>
                <c:pt idx="417">
                  <c:v>0.614568261517292</c:v>
                </c:pt>
                <c:pt idx="418">
                  <c:v>0.513062520098793</c:v>
                </c:pt>
                <c:pt idx="419">
                  <c:v>0.476286377448224</c:v>
                </c:pt>
                <c:pt idx="420">
                  <c:v>0.44645156491664</c:v>
                </c:pt>
                <c:pt idx="421">
                  <c:v>0.472644421450088</c:v>
                </c:pt>
                <c:pt idx="422">
                  <c:v>0.521624879407242</c:v>
                </c:pt>
                <c:pt idx="423">
                  <c:v>0.503746743175161</c:v>
                </c:pt>
                <c:pt idx="424">
                  <c:v>0.526564533806444</c:v>
                </c:pt>
                <c:pt idx="425">
                  <c:v>0.431420839741248</c:v>
                </c:pt>
                <c:pt idx="426">
                  <c:v>0.449512925574853</c:v>
                </c:pt>
                <c:pt idx="427">
                  <c:v>0.49451978377527</c:v>
                </c:pt>
                <c:pt idx="428">
                  <c:v>0.579017625684453</c:v>
                </c:pt>
                <c:pt idx="429">
                  <c:v>0.575109217115093</c:v>
                </c:pt>
                <c:pt idx="430">
                  <c:v>0.676922975955827</c:v>
                </c:pt>
                <c:pt idx="431">
                  <c:v>0.660639617428361</c:v>
                </c:pt>
                <c:pt idx="432">
                  <c:v>0.62975518302754</c:v>
                </c:pt>
                <c:pt idx="433">
                  <c:v>0.614302683995564</c:v>
                </c:pt>
                <c:pt idx="434">
                  <c:v>0.549373573942776</c:v>
                </c:pt>
                <c:pt idx="435">
                  <c:v>0.652058882080518</c:v>
                </c:pt>
                <c:pt idx="436">
                  <c:v>0.640081642117882</c:v>
                </c:pt>
                <c:pt idx="437">
                  <c:v>0.612746845993476</c:v>
                </c:pt>
                <c:pt idx="438">
                  <c:v>0.666146741425062</c:v>
                </c:pt>
                <c:pt idx="439">
                  <c:v>0.675657216861329</c:v>
                </c:pt>
                <c:pt idx="440">
                  <c:v>0.702554925762988</c:v>
                </c:pt>
                <c:pt idx="441">
                  <c:v>0.72004016477182</c:v>
                </c:pt>
                <c:pt idx="442">
                  <c:v>0.745324719929471</c:v>
                </c:pt>
                <c:pt idx="443">
                  <c:v>0.750560578582726</c:v>
                </c:pt>
                <c:pt idx="444">
                  <c:v>0.760013738277071</c:v>
                </c:pt>
                <c:pt idx="445">
                  <c:v>0.795038031838676</c:v>
                </c:pt>
                <c:pt idx="446">
                  <c:v>0.786745806434677</c:v>
                </c:pt>
                <c:pt idx="447">
                  <c:v>0.787371284375773</c:v>
                </c:pt>
                <c:pt idx="448">
                  <c:v>0.783938138813476</c:v>
                </c:pt>
                <c:pt idx="449">
                  <c:v>0.783938138813476</c:v>
                </c:pt>
                <c:pt idx="450">
                  <c:v>0.811054929919474</c:v>
                </c:pt>
                <c:pt idx="451">
                  <c:v>0.799074117567275</c:v>
                </c:pt>
                <c:pt idx="452">
                  <c:v>0.801050265468141</c:v>
                </c:pt>
                <c:pt idx="453">
                  <c:v>0.805192543703253</c:v>
                </c:pt>
                <c:pt idx="454">
                  <c:v>0.805610881677995</c:v>
                </c:pt>
                <c:pt idx="455">
                  <c:v>0.772546373904275</c:v>
                </c:pt>
                <c:pt idx="456">
                  <c:v>0.776400402085243</c:v>
                </c:pt>
                <c:pt idx="457">
                  <c:v>0.770670528551771</c:v>
                </c:pt>
                <c:pt idx="458">
                  <c:v>0.732489056412253</c:v>
                </c:pt>
                <c:pt idx="459">
                  <c:v>0.665888164299293</c:v>
                </c:pt>
                <c:pt idx="460">
                  <c:v>0.672738051746052</c:v>
                </c:pt>
                <c:pt idx="461">
                  <c:v>0.664996488863902</c:v>
                </c:pt>
                <c:pt idx="462">
                  <c:v>0.670990577904563</c:v>
                </c:pt>
                <c:pt idx="463">
                  <c:v>0.688870026710886</c:v>
                </c:pt>
                <c:pt idx="464">
                  <c:v>0.684310143792508</c:v>
                </c:pt>
                <c:pt idx="465">
                  <c:v>0.688857776017956</c:v>
                </c:pt>
                <c:pt idx="466">
                  <c:v>0.737834733777129</c:v>
                </c:pt>
                <c:pt idx="467">
                  <c:v>0.696126812172813</c:v>
                </c:pt>
                <c:pt idx="468">
                  <c:v>0.749215189984184</c:v>
                </c:pt>
                <c:pt idx="469">
                  <c:v>0.671660865817723</c:v>
                </c:pt>
                <c:pt idx="470">
                  <c:v>0.678050039705371</c:v>
                </c:pt>
                <c:pt idx="471">
                  <c:v>0.724544919572013</c:v>
                </c:pt>
                <c:pt idx="472">
                  <c:v>0.743228101339482</c:v>
                </c:pt>
                <c:pt idx="473">
                  <c:v>0.732106222258197</c:v>
                </c:pt>
                <c:pt idx="474">
                  <c:v>0.733646309369374</c:v>
                </c:pt>
                <c:pt idx="475">
                  <c:v>0.766806747506656</c:v>
                </c:pt>
                <c:pt idx="476">
                  <c:v>0.798437599126701</c:v>
                </c:pt>
                <c:pt idx="477">
                  <c:v>0.794402093028846</c:v>
                </c:pt>
                <c:pt idx="478">
                  <c:v>0.774071408414039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EB-4ABF-BF61-F9DA7BFEC140}"/>
            </c:ext>
          </c:extLst>
        </c:ser>
        <c:ser>
          <c:idx val="1"/>
          <c:order val="1"/>
          <c:tx>
            <c:v>S&amp;P 500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Data!$B$3:$B$434</c:f>
              <c:numCache>
                <c:formatCode>m/d/yy</c:formatCode>
                <c:ptCount val="432"/>
                <c:pt idx="0">
                  <c:v>37743.0</c:v>
                </c:pt>
                <c:pt idx="1">
                  <c:v>37750.0</c:v>
                </c:pt>
                <c:pt idx="2">
                  <c:v>37757.0</c:v>
                </c:pt>
                <c:pt idx="3">
                  <c:v>37764.0</c:v>
                </c:pt>
                <c:pt idx="4">
                  <c:v>37771.0</c:v>
                </c:pt>
                <c:pt idx="5">
                  <c:v>37778.0</c:v>
                </c:pt>
                <c:pt idx="6">
                  <c:v>37785.0</c:v>
                </c:pt>
                <c:pt idx="7">
                  <c:v>37792.0</c:v>
                </c:pt>
                <c:pt idx="8">
                  <c:v>37799.0</c:v>
                </c:pt>
                <c:pt idx="9">
                  <c:v>37806.0</c:v>
                </c:pt>
                <c:pt idx="10">
                  <c:v>37813.0</c:v>
                </c:pt>
                <c:pt idx="11">
                  <c:v>37820.0</c:v>
                </c:pt>
                <c:pt idx="12">
                  <c:v>37827.0</c:v>
                </c:pt>
                <c:pt idx="13">
                  <c:v>37834.0</c:v>
                </c:pt>
                <c:pt idx="14">
                  <c:v>37841.0</c:v>
                </c:pt>
                <c:pt idx="15">
                  <c:v>37848.0</c:v>
                </c:pt>
                <c:pt idx="16">
                  <c:v>37855.0</c:v>
                </c:pt>
                <c:pt idx="17">
                  <c:v>37862.0</c:v>
                </c:pt>
                <c:pt idx="18">
                  <c:v>37869.0</c:v>
                </c:pt>
                <c:pt idx="19">
                  <c:v>37876.0</c:v>
                </c:pt>
                <c:pt idx="20">
                  <c:v>37883.0</c:v>
                </c:pt>
                <c:pt idx="21">
                  <c:v>37890.0</c:v>
                </c:pt>
                <c:pt idx="22">
                  <c:v>37897.0</c:v>
                </c:pt>
                <c:pt idx="23">
                  <c:v>37904.0</c:v>
                </c:pt>
                <c:pt idx="24">
                  <c:v>37911.0</c:v>
                </c:pt>
                <c:pt idx="25">
                  <c:v>37918.0</c:v>
                </c:pt>
                <c:pt idx="26">
                  <c:v>37925.0</c:v>
                </c:pt>
                <c:pt idx="27">
                  <c:v>37932.0</c:v>
                </c:pt>
                <c:pt idx="28">
                  <c:v>37939.0</c:v>
                </c:pt>
                <c:pt idx="29">
                  <c:v>37946.0</c:v>
                </c:pt>
                <c:pt idx="30">
                  <c:v>37953.0</c:v>
                </c:pt>
                <c:pt idx="31">
                  <c:v>37960.0</c:v>
                </c:pt>
                <c:pt idx="32">
                  <c:v>37967.0</c:v>
                </c:pt>
                <c:pt idx="33">
                  <c:v>37974.0</c:v>
                </c:pt>
                <c:pt idx="34">
                  <c:v>37981.0</c:v>
                </c:pt>
                <c:pt idx="35">
                  <c:v>37988.0</c:v>
                </c:pt>
                <c:pt idx="36">
                  <c:v>37995.0</c:v>
                </c:pt>
                <c:pt idx="37">
                  <c:v>38002.0</c:v>
                </c:pt>
                <c:pt idx="38">
                  <c:v>38009.0</c:v>
                </c:pt>
                <c:pt idx="39">
                  <c:v>38016.0</c:v>
                </c:pt>
                <c:pt idx="40">
                  <c:v>38023.0</c:v>
                </c:pt>
                <c:pt idx="41">
                  <c:v>38030.0</c:v>
                </c:pt>
                <c:pt idx="42">
                  <c:v>38037.0</c:v>
                </c:pt>
                <c:pt idx="43">
                  <c:v>38044.0</c:v>
                </c:pt>
                <c:pt idx="44">
                  <c:v>38051.0</c:v>
                </c:pt>
                <c:pt idx="45">
                  <c:v>38058.0</c:v>
                </c:pt>
                <c:pt idx="46">
                  <c:v>38065.0</c:v>
                </c:pt>
                <c:pt idx="47">
                  <c:v>38072.0</c:v>
                </c:pt>
                <c:pt idx="48">
                  <c:v>38079.0</c:v>
                </c:pt>
                <c:pt idx="49">
                  <c:v>38086.0</c:v>
                </c:pt>
                <c:pt idx="50">
                  <c:v>38093.0</c:v>
                </c:pt>
                <c:pt idx="51">
                  <c:v>38100.0</c:v>
                </c:pt>
                <c:pt idx="52">
                  <c:v>38107.0</c:v>
                </c:pt>
                <c:pt idx="53">
                  <c:v>38114.0</c:v>
                </c:pt>
                <c:pt idx="54">
                  <c:v>38121.0</c:v>
                </c:pt>
                <c:pt idx="55">
                  <c:v>38128.0</c:v>
                </c:pt>
                <c:pt idx="56">
                  <c:v>38135.0</c:v>
                </c:pt>
                <c:pt idx="57">
                  <c:v>38142.0</c:v>
                </c:pt>
                <c:pt idx="58">
                  <c:v>38149.0</c:v>
                </c:pt>
                <c:pt idx="59">
                  <c:v>38156.0</c:v>
                </c:pt>
                <c:pt idx="60">
                  <c:v>38163.0</c:v>
                </c:pt>
                <c:pt idx="61">
                  <c:v>38170.0</c:v>
                </c:pt>
                <c:pt idx="62">
                  <c:v>38177.0</c:v>
                </c:pt>
                <c:pt idx="63">
                  <c:v>38184.0</c:v>
                </c:pt>
                <c:pt idx="64">
                  <c:v>38191.0</c:v>
                </c:pt>
                <c:pt idx="65">
                  <c:v>38198.0</c:v>
                </c:pt>
                <c:pt idx="66">
                  <c:v>38205.0</c:v>
                </c:pt>
                <c:pt idx="67">
                  <c:v>38212.0</c:v>
                </c:pt>
                <c:pt idx="68">
                  <c:v>38219.0</c:v>
                </c:pt>
                <c:pt idx="69">
                  <c:v>38226.0</c:v>
                </c:pt>
                <c:pt idx="70">
                  <c:v>38233.0</c:v>
                </c:pt>
                <c:pt idx="71">
                  <c:v>38240.0</c:v>
                </c:pt>
                <c:pt idx="72">
                  <c:v>38247.0</c:v>
                </c:pt>
                <c:pt idx="73">
                  <c:v>38254.0</c:v>
                </c:pt>
                <c:pt idx="74">
                  <c:v>38261.0</c:v>
                </c:pt>
                <c:pt idx="75">
                  <c:v>38268.0</c:v>
                </c:pt>
                <c:pt idx="76">
                  <c:v>38275.0</c:v>
                </c:pt>
                <c:pt idx="77">
                  <c:v>38282.0</c:v>
                </c:pt>
                <c:pt idx="78">
                  <c:v>38289.0</c:v>
                </c:pt>
                <c:pt idx="79">
                  <c:v>38296.0</c:v>
                </c:pt>
                <c:pt idx="80">
                  <c:v>38303.0</c:v>
                </c:pt>
                <c:pt idx="81">
                  <c:v>38310.0</c:v>
                </c:pt>
                <c:pt idx="82">
                  <c:v>38317.0</c:v>
                </c:pt>
                <c:pt idx="83">
                  <c:v>38324.0</c:v>
                </c:pt>
                <c:pt idx="84">
                  <c:v>38331.0</c:v>
                </c:pt>
                <c:pt idx="85">
                  <c:v>38338.0</c:v>
                </c:pt>
                <c:pt idx="86">
                  <c:v>38345.0</c:v>
                </c:pt>
                <c:pt idx="87">
                  <c:v>38352.0</c:v>
                </c:pt>
                <c:pt idx="88">
                  <c:v>38359.0</c:v>
                </c:pt>
                <c:pt idx="89">
                  <c:v>38366.0</c:v>
                </c:pt>
                <c:pt idx="90">
                  <c:v>38373.0</c:v>
                </c:pt>
                <c:pt idx="91">
                  <c:v>38380.0</c:v>
                </c:pt>
                <c:pt idx="92">
                  <c:v>38387.0</c:v>
                </c:pt>
                <c:pt idx="93">
                  <c:v>38394.0</c:v>
                </c:pt>
                <c:pt idx="94">
                  <c:v>38401.0</c:v>
                </c:pt>
                <c:pt idx="95">
                  <c:v>38408.0</c:v>
                </c:pt>
                <c:pt idx="96">
                  <c:v>38415.0</c:v>
                </c:pt>
                <c:pt idx="97">
                  <c:v>38422.0</c:v>
                </c:pt>
                <c:pt idx="98">
                  <c:v>38429.0</c:v>
                </c:pt>
                <c:pt idx="99">
                  <c:v>38436.0</c:v>
                </c:pt>
                <c:pt idx="100">
                  <c:v>38443.0</c:v>
                </c:pt>
                <c:pt idx="101">
                  <c:v>38450.0</c:v>
                </c:pt>
                <c:pt idx="102">
                  <c:v>38457.0</c:v>
                </c:pt>
                <c:pt idx="103">
                  <c:v>38464.0</c:v>
                </c:pt>
                <c:pt idx="104">
                  <c:v>38471.0</c:v>
                </c:pt>
                <c:pt idx="105">
                  <c:v>38478.0</c:v>
                </c:pt>
                <c:pt idx="106">
                  <c:v>38485.0</c:v>
                </c:pt>
                <c:pt idx="107">
                  <c:v>38492.0</c:v>
                </c:pt>
                <c:pt idx="108">
                  <c:v>38499.0</c:v>
                </c:pt>
                <c:pt idx="109">
                  <c:v>38506.0</c:v>
                </c:pt>
                <c:pt idx="110">
                  <c:v>38513.0</c:v>
                </c:pt>
                <c:pt idx="111">
                  <c:v>38520.0</c:v>
                </c:pt>
                <c:pt idx="112">
                  <c:v>38527.0</c:v>
                </c:pt>
                <c:pt idx="113">
                  <c:v>38534.0</c:v>
                </c:pt>
                <c:pt idx="114">
                  <c:v>38541.0</c:v>
                </c:pt>
                <c:pt idx="115">
                  <c:v>38548.0</c:v>
                </c:pt>
                <c:pt idx="116">
                  <c:v>38555.0</c:v>
                </c:pt>
                <c:pt idx="117">
                  <c:v>38562.0</c:v>
                </c:pt>
                <c:pt idx="118">
                  <c:v>38569.0</c:v>
                </c:pt>
                <c:pt idx="119">
                  <c:v>38576.0</c:v>
                </c:pt>
                <c:pt idx="120">
                  <c:v>38583.0</c:v>
                </c:pt>
                <c:pt idx="121">
                  <c:v>38590.0</c:v>
                </c:pt>
                <c:pt idx="122">
                  <c:v>38597.0</c:v>
                </c:pt>
                <c:pt idx="123">
                  <c:v>38604.0</c:v>
                </c:pt>
                <c:pt idx="124">
                  <c:v>38611.0</c:v>
                </c:pt>
                <c:pt idx="125">
                  <c:v>38618.0</c:v>
                </c:pt>
                <c:pt idx="126">
                  <c:v>38625.0</c:v>
                </c:pt>
                <c:pt idx="127">
                  <c:v>38632.0</c:v>
                </c:pt>
                <c:pt idx="128">
                  <c:v>38639.0</c:v>
                </c:pt>
                <c:pt idx="129">
                  <c:v>38646.0</c:v>
                </c:pt>
                <c:pt idx="130">
                  <c:v>38653.0</c:v>
                </c:pt>
                <c:pt idx="131">
                  <c:v>38660.0</c:v>
                </c:pt>
                <c:pt idx="132">
                  <c:v>38667.0</c:v>
                </c:pt>
                <c:pt idx="133">
                  <c:v>38674.0</c:v>
                </c:pt>
                <c:pt idx="134">
                  <c:v>38681.0</c:v>
                </c:pt>
                <c:pt idx="135">
                  <c:v>38688.0</c:v>
                </c:pt>
                <c:pt idx="136">
                  <c:v>38695.0</c:v>
                </c:pt>
                <c:pt idx="137">
                  <c:v>38702.0</c:v>
                </c:pt>
                <c:pt idx="138">
                  <c:v>38709.0</c:v>
                </c:pt>
                <c:pt idx="139">
                  <c:v>38716.0</c:v>
                </c:pt>
                <c:pt idx="140">
                  <c:v>38723.0</c:v>
                </c:pt>
                <c:pt idx="141">
                  <c:v>38730.0</c:v>
                </c:pt>
                <c:pt idx="142">
                  <c:v>38737.0</c:v>
                </c:pt>
                <c:pt idx="143">
                  <c:v>38744.0</c:v>
                </c:pt>
                <c:pt idx="144">
                  <c:v>38751.0</c:v>
                </c:pt>
                <c:pt idx="145">
                  <c:v>38758.0</c:v>
                </c:pt>
                <c:pt idx="146">
                  <c:v>38765.0</c:v>
                </c:pt>
                <c:pt idx="147">
                  <c:v>38772.0</c:v>
                </c:pt>
                <c:pt idx="148">
                  <c:v>38779.0</c:v>
                </c:pt>
                <c:pt idx="149">
                  <c:v>38786.0</c:v>
                </c:pt>
                <c:pt idx="150">
                  <c:v>38793.0</c:v>
                </c:pt>
                <c:pt idx="151">
                  <c:v>38800.0</c:v>
                </c:pt>
                <c:pt idx="152">
                  <c:v>38807.0</c:v>
                </c:pt>
                <c:pt idx="153">
                  <c:v>38814.0</c:v>
                </c:pt>
                <c:pt idx="154">
                  <c:v>38821.0</c:v>
                </c:pt>
                <c:pt idx="155">
                  <c:v>38828.0</c:v>
                </c:pt>
                <c:pt idx="156">
                  <c:v>38835.0</c:v>
                </c:pt>
                <c:pt idx="157">
                  <c:v>38842.0</c:v>
                </c:pt>
                <c:pt idx="158">
                  <c:v>38849.0</c:v>
                </c:pt>
                <c:pt idx="159">
                  <c:v>38856.0</c:v>
                </c:pt>
                <c:pt idx="160">
                  <c:v>38863.0</c:v>
                </c:pt>
                <c:pt idx="161">
                  <c:v>38870.0</c:v>
                </c:pt>
                <c:pt idx="162">
                  <c:v>38877.0</c:v>
                </c:pt>
                <c:pt idx="163">
                  <c:v>38884.0</c:v>
                </c:pt>
                <c:pt idx="164">
                  <c:v>38891.0</c:v>
                </c:pt>
                <c:pt idx="165">
                  <c:v>38898.0</c:v>
                </c:pt>
                <c:pt idx="166">
                  <c:v>38905.0</c:v>
                </c:pt>
                <c:pt idx="167">
                  <c:v>38912.0</c:v>
                </c:pt>
                <c:pt idx="168">
                  <c:v>38919.0</c:v>
                </c:pt>
                <c:pt idx="169">
                  <c:v>38926.0</c:v>
                </c:pt>
                <c:pt idx="170">
                  <c:v>38933.0</c:v>
                </c:pt>
                <c:pt idx="171">
                  <c:v>38940.0</c:v>
                </c:pt>
                <c:pt idx="172">
                  <c:v>38947.0</c:v>
                </c:pt>
                <c:pt idx="173">
                  <c:v>38954.0</c:v>
                </c:pt>
                <c:pt idx="174">
                  <c:v>38961.0</c:v>
                </c:pt>
                <c:pt idx="175">
                  <c:v>38968.0</c:v>
                </c:pt>
                <c:pt idx="176">
                  <c:v>38975.0</c:v>
                </c:pt>
                <c:pt idx="177">
                  <c:v>38982.0</c:v>
                </c:pt>
                <c:pt idx="178">
                  <c:v>38989.0</c:v>
                </c:pt>
                <c:pt idx="179">
                  <c:v>38996.0</c:v>
                </c:pt>
                <c:pt idx="180">
                  <c:v>39003.0</c:v>
                </c:pt>
                <c:pt idx="181">
                  <c:v>39010.0</c:v>
                </c:pt>
                <c:pt idx="182">
                  <c:v>39017.0</c:v>
                </c:pt>
                <c:pt idx="183">
                  <c:v>39024.0</c:v>
                </c:pt>
                <c:pt idx="184">
                  <c:v>39031.0</c:v>
                </c:pt>
                <c:pt idx="185">
                  <c:v>39038.0</c:v>
                </c:pt>
                <c:pt idx="186">
                  <c:v>39045.0</c:v>
                </c:pt>
                <c:pt idx="187">
                  <c:v>39052.0</c:v>
                </c:pt>
                <c:pt idx="188">
                  <c:v>39059.0</c:v>
                </c:pt>
                <c:pt idx="189">
                  <c:v>39066.0</c:v>
                </c:pt>
                <c:pt idx="190">
                  <c:v>39073.0</c:v>
                </c:pt>
                <c:pt idx="191">
                  <c:v>39080.0</c:v>
                </c:pt>
                <c:pt idx="192">
                  <c:v>39087.0</c:v>
                </c:pt>
                <c:pt idx="193">
                  <c:v>39094.0</c:v>
                </c:pt>
                <c:pt idx="194">
                  <c:v>39101.0</c:v>
                </c:pt>
                <c:pt idx="195">
                  <c:v>39108.0</c:v>
                </c:pt>
                <c:pt idx="196">
                  <c:v>39115.0</c:v>
                </c:pt>
                <c:pt idx="197">
                  <c:v>39122.0</c:v>
                </c:pt>
                <c:pt idx="198">
                  <c:v>39129.0</c:v>
                </c:pt>
                <c:pt idx="199">
                  <c:v>39136.0</c:v>
                </c:pt>
                <c:pt idx="200">
                  <c:v>39143.0</c:v>
                </c:pt>
                <c:pt idx="201">
                  <c:v>39150.0</c:v>
                </c:pt>
                <c:pt idx="202">
                  <c:v>39157.0</c:v>
                </c:pt>
                <c:pt idx="203">
                  <c:v>39164.0</c:v>
                </c:pt>
                <c:pt idx="204">
                  <c:v>39171.0</c:v>
                </c:pt>
                <c:pt idx="205">
                  <c:v>39178.0</c:v>
                </c:pt>
                <c:pt idx="206">
                  <c:v>39185.0</c:v>
                </c:pt>
                <c:pt idx="207">
                  <c:v>39192.0</c:v>
                </c:pt>
                <c:pt idx="208">
                  <c:v>39199.0</c:v>
                </c:pt>
                <c:pt idx="209">
                  <c:v>39206.0</c:v>
                </c:pt>
                <c:pt idx="210">
                  <c:v>39213.0</c:v>
                </c:pt>
                <c:pt idx="211">
                  <c:v>39220.0</c:v>
                </c:pt>
                <c:pt idx="212">
                  <c:v>39227.0</c:v>
                </c:pt>
                <c:pt idx="213">
                  <c:v>39234.0</c:v>
                </c:pt>
                <c:pt idx="214">
                  <c:v>39241.0</c:v>
                </c:pt>
                <c:pt idx="215">
                  <c:v>39248.0</c:v>
                </c:pt>
                <c:pt idx="216">
                  <c:v>39255.0</c:v>
                </c:pt>
                <c:pt idx="217">
                  <c:v>39262.0</c:v>
                </c:pt>
                <c:pt idx="218">
                  <c:v>39269.0</c:v>
                </c:pt>
                <c:pt idx="219">
                  <c:v>39276.0</c:v>
                </c:pt>
                <c:pt idx="220">
                  <c:v>39283.0</c:v>
                </c:pt>
                <c:pt idx="221">
                  <c:v>39290.0</c:v>
                </c:pt>
                <c:pt idx="222">
                  <c:v>39297.0</c:v>
                </c:pt>
                <c:pt idx="223">
                  <c:v>39304.0</c:v>
                </c:pt>
                <c:pt idx="224">
                  <c:v>39311.0</c:v>
                </c:pt>
                <c:pt idx="225">
                  <c:v>39318.0</c:v>
                </c:pt>
                <c:pt idx="226">
                  <c:v>39325.0</c:v>
                </c:pt>
                <c:pt idx="227">
                  <c:v>39332.0</c:v>
                </c:pt>
                <c:pt idx="228">
                  <c:v>39339.0</c:v>
                </c:pt>
                <c:pt idx="229">
                  <c:v>39346.0</c:v>
                </c:pt>
                <c:pt idx="230">
                  <c:v>39353.0</c:v>
                </c:pt>
                <c:pt idx="231">
                  <c:v>39360.0</c:v>
                </c:pt>
                <c:pt idx="232">
                  <c:v>39367.0</c:v>
                </c:pt>
                <c:pt idx="233">
                  <c:v>39374.0</c:v>
                </c:pt>
                <c:pt idx="234">
                  <c:v>39381.0</c:v>
                </c:pt>
                <c:pt idx="235">
                  <c:v>39388.0</c:v>
                </c:pt>
                <c:pt idx="236">
                  <c:v>39405.0</c:v>
                </c:pt>
                <c:pt idx="237">
                  <c:v>39417.0</c:v>
                </c:pt>
                <c:pt idx="238">
                  <c:v>39438.0</c:v>
                </c:pt>
                <c:pt idx="239">
                  <c:v>39452.0</c:v>
                </c:pt>
                <c:pt idx="240">
                  <c:v>39459.0</c:v>
                </c:pt>
                <c:pt idx="241">
                  <c:v>39466.0</c:v>
                </c:pt>
                <c:pt idx="242">
                  <c:v>39480.0</c:v>
                </c:pt>
                <c:pt idx="243">
                  <c:v>39487.0</c:v>
                </c:pt>
                <c:pt idx="244">
                  <c:v>39496.0</c:v>
                </c:pt>
                <c:pt idx="245">
                  <c:v>39503.0</c:v>
                </c:pt>
                <c:pt idx="246">
                  <c:v>39510.0</c:v>
                </c:pt>
                <c:pt idx="247">
                  <c:v>39517.0</c:v>
                </c:pt>
                <c:pt idx="248">
                  <c:v>39531.0</c:v>
                </c:pt>
                <c:pt idx="249">
                  <c:v>39538.0</c:v>
                </c:pt>
                <c:pt idx="250">
                  <c:v>39549.0</c:v>
                </c:pt>
                <c:pt idx="251">
                  <c:v>39556.0</c:v>
                </c:pt>
                <c:pt idx="252">
                  <c:v>39571.0</c:v>
                </c:pt>
                <c:pt idx="253">
                  <c:v>39585.0</c:v>
                </c:pt>
                <c:pt idx="254">
                  <c:v>39592.0</c:v>
                </c:pt>
                <c:pt idx="255">
                  <c:v>39599.0</c:v>
                </c:pt>
                <c:pt idx="256">
                  <c:v>39606.0</c:v>
                </c:pt>
                <c:pt idx="257">
                  <c:v>39620.0</c:v>
                </c:pt>
                <c:pt idx="258">
                  <c:v>39639.0</c:v>
                </c:pt>
                <c:pt idx="259">
                  <c:v>39646.0</c:v>
                </c:pt>
                <c:pt idx="260">
                  <c:v>39653.0</c:v>
                </c:pt>
                <c:pt idx="261">
                  <c:v>39660.0</c:v>
                </c:pt>
                <c:pt idx="262">
                  <c:v>39667.0</c:v>
                </c:pt>
                <c:pt idx="263">
                  <c:v>39674.0</c:v>
                </c:pt>
                <c:pt idx="264">
                  <c:v>39681.0</c:v>
                </c:pt>
                <c:pt idx="265">
                  <c:v>39688.0</c:v>
                </c:pt>
                <c:pt idx="266">
                  <c:v>39695.0</c:v>
                </c:pt>
                <c:pt idx="267">
                  <c:v>39702.0</c:v>
                </c:pt>
                <c:pt idx="268">
                  <c:v>39709.0</c:v>
                </c:pt>
                <c:pt idx="269">
                  <c:v>39716.0</c:v>
                </c:pt>
                <c:pt idx="270">
                  <c:v>39723.0</c:v>
                </c:pt>
                <c:pt idx="271">
                  <c:v>39730.0</c:v>
                </c:pt>
                <c:pt idx="272">
                  <c:v>39737.0</c:v>
                </c:pt>
                <c:pt idx="273">
                  <c:v>39744.0</c:v>
                </c:pt>
                <c:pt idx="274">
                  <c:v>39751.0</c:v>
                </c:pt>
                <c:pt idx="275">
                  <c:v>39758.0</c:v>
                </c:pt>
                <c:pt idx="276">
                  <c:v>39765.0</c:v>
                </c:pt>
                <c:pt idx="277">
                  <c:v>39772.0</c:v>
                </c:pt>
                <c:pt idx="278">
                  <c:v>39779.0</c:v>
                </c:pt>
                <c:pt idx="279">
                  <c:v>39786.0</c:v>
                </c:pt>
                <c:pt idx="280">
                  <c:v>39793.0</c:v>
                </c:pt>
                <c:pt idx="281">
                  <c:v>39800.0</c:v>
                </c:pt>
                <c:pt idx="282">
                  <c:v>39807.0</c:v>
                </c:pt>
                <c:pt idx="283">
                  <c:v>39814.0</c:v>
                </c:pt>
                <c:pt idx="284">
                  <c:v>39821.0</c:v>
                </c:pt>
                <c:pt idx="285">
                  <c:v>39828.0</c:v>
                </c:pt>
                <c:pt idx="286">
                  <c:v>39835.0</c:v>
                </c:pt>
                <c:pt idx="287">
                  <c:v>39842.0</c:v>
                </c:pt>
                <c:pt idx="288">
                  <c:v>39849.0</c:v>
                </c:pt>
                <c:pt idx="289">
                  <c:v>39856.0</c:v>
                </c:pt>
                <c:pt idx="290">
                  <c:v>39863.0</c:v>
                </c:pt>
                <c:pt idx="291">
                  <c:v>39870.0</c:v>
                </c:pt>
                <c:pt idx="292">
                  <c:v>39877.0</c:v>
                </c:pt>
                <c:pt idx="293">
                  <c:v>39884.0</c:v>
                </c:pt>
                <c:pt idx="294">
                  <c:v>39891.0</c:v>
                </c:pt>
                <c:pt idx="295">
                  <c:v>39898.0</c:v>
                </c:pt>
                <c:pt idx="296">
                  <c:v>39905.0</c:v>
                </c:pt>
                <c:pt idx="297">
                  <c:v>39912.0</c:v>
                </c:pt>
                <c:pt idx="298">
                  <c:v>39919.0</c:v>
                </c:pt>
                <c:pt idx="299">
                  <c:v>39926.0</c:v>
                </c:pt>
                <c:pt idx="300">
                  <c:v>39933.0</c:v>
                </c:pt>
                <c:pt idx="301">
                  <c:v>39940.0</c:v>
                </c:pt>
                <c:pt idx="302">
                  <c:v>39947.0</c:v>
                </c:pt>
                <c:pt idx="303">
                  <c:v>39954.0</c:v>
                </c:pt>
                <c:pt idx="304">
                  <c:v>39961.0</c:v>
                </c:pt>
                <c:pt idx="305">
                  <c:v>39968.0</c:v>
                </c:pt>
                <c:pt idx="306">
                  <c:v>39975.0</c:v>
                </c:pt>
                <c:pt idx="307">
                  <c:v>39982.0</c:v>
                </c:pt>
                <c:pt idx="308">
                  <c:v>39989.0</c:v>
                </c:pt>
                <c:pt idx="309">
                  <c:v>39996.0</c:v>
                </c:pt>
                <c:pt idx="310">
                  <c:v>40003.0</c:v>
                </c:pt>
                <c:pt idx="311">
                  <c:v>40010.0</c:v>
                </c:pt>
                <c:pt idx="312">
                  <c:v>40017.0</c:v>
                </c:pt>
                <c:pt idx="313">
                  <c:v>40024.0</c:v>
                </c:pt>
                <c:pt idx="314">
                  <c:v>40031.0</c:v>
                </c:pt>
                <c:pt idx="315">
                  <c:v>40038.0</c:v>
                </c:pt>
                <c:pt idx="316">
                  <c:v>40045.0</c:v>
                </c:pt>
                <c:pt idx="317">
                  <c:v>40052.0</c:v>
                </c:pt>
                <c:pt idx="318">
                  <c:v>40059.0</c:v>
                </c:pt>
                <c:pt idx="319">
                  <c:v>40066.0</c:v>
                </c:pt>
                <c:pt idx="320">
                  <c:v>40073.0</c:v>
                </c:pt>
                <c:pt idx="321">
                  <c:v>40080.0</c:v>
                </c:pt>
                <c:pt idx="322">
                  <c:v>40087.0</c:v>
                </c:pt>
                <c:pt idx="323">
                  <c:v>40094.0</c:v>
                </c:pt>
                <c:pt idx="324">
                  <c:v>40101.0</c:v>
                </c:pt>
                <c:pt idx="325">
                  <c:v>40108.0</c:v>
                </c:pt>
                <c:pt idx="326">
                  <c:v>40115.0</c:v>
                </c:pt>
                <c:pt idx="327">
                  <c:v>40122.0</c:v>
                </c:pt>
                <c:pt idx="328">
                  <c:v>40129.0</c:v>
                </c:pt>
                <c:pt idx="329">
                  <c:v>40136.0</c:v>
                </c:pt>
                <c:pt idx="330">
                  <c:v>40143.0</c:v>
                </c:pt>
                <c:pt idx="331">
                  <c:v>40150.0</c:v>
                </c:pt>
                <c:pt idx="332">
                  <c:v>40157.0</c:v>
                </c:pt>
                <c:pt idx="333">
                  <c:v>40164.0</c:v>
                </c:pt>
                <c:pt idx="334">
                  <c:v>40171.0</c:v>
                </c:pt>
                <c:pt idx="335">
                  <c:v>40178.0</c:v>
                </c:pt>
                <c:pt idx="336">
                  <c:v>40185.0</c:v>
                </c:pt>
                <c:pt idx="337">
                  <c:v>40192.0</c:v>
                </c:pt>
                <c:pt idx="338">
                  <c:v>40199.0</c:v>
                </c:pt>
                <c:pt idx="339">
                  <c:v>40206.0</c:v>
                </c:pt>
                <c:pt idx="340">
                  <c:v>40213.0</c:v>
                </c:pt>
                <c:pt idx="341">
                  <c:v>40220.0</c:v>
                </c:pt>
                <c:pt idx="342">
                  <c:v>40227.0</c:v>
                </c:pt>
                <c:pt idx="343">
                  <c:v>40234.0</c:v>
                </c:pt>
                <c:pt idx="344">
                  <c:v>40241.0</c:v>
                </c:pt>
                <c:pt idx="345">
                  <c:v>40248.0</c:v>
                </c:pt>
                <c:pt idx="346">
                  <c:v>40255.0</c:v>
                </c:pt>
                <c:pt idx="347">
                  <c:v>40262.0</c:v>
                </c:pt>
                <c:pt idx="348">
                  <c:v>40269.0</c:v>
                </c:pt>
                <c:pt idx="349">
                  <c:v>40276.0</c:v>
                </c:pt>
                <c:pt idx="350">
                  <c:v>40283.0</c:v>
                </c:pt>
                <c:pt idx="351">
                  <c:v>40290.0</c:v>
                </c:pt>
                <c:pt idx="352">
                  <c:v>40297.0</c:v>
                </c:pt>
                <c:pt idx="353">
                  <c:v>40304.0</c:v>
                </c:pt>
                <c:pt idx="354">
                  <c:v>40311.0</c:v>
                </c:pt>
                <c:pt idx="355">
                  <c:v>40318.0</c:v>
                </c:pt>
                <c:pt idx="356">
                  <c:v>40325.0</c:v>
                </c:pt>
                <c:pt idx="357">
                  <c:v>40332.0</c:v>
                </c:pt>
                <c:pt idx="358">
                  <c:v>40339.0</c:v>
                </c:pt>
                <c:pt idx="359">
                  <c:v>40346.0</c:v>
                </c:pt>
                <c:pt idx="360">
                  <c:v>40353.0</c:v>
                </c:pt>
                <c:pt idx="361">
                  <c:v>40360.0</c:v>
                </c:pt>
                <c:pt idx="362">
                  <c:v>40367.0</c:v>
                </c:pt>
                <c:pt idx="363">
                  <c:v>40374.0</c:v>
                </c:pt>
                <c:pt idx="364">
                  <c:v>40381.0</c:v>
                </c:pt>
                <c:pt idx="365">
                  <c:v>40388.0</c:v>
                </c:pt>
                <c:pt idx="366">
                  <c:v>40395.0</c:v>
                </c:pt>
                <c:pt idx="367">
                  <c:v>40402.0</c:v>
                </c:pt>
                <c:pt idx="368">
                  <c:v>40409.0</c:v>
                </c:pt>
                <c:pt idx="369">
                  <c:v>40416.0</c:v>
                </c:pt>
                <c:pt idx="370">
                  <c:v>40423.0</c:v>
                </c:pt>
                <c:pt idx="371">
                  <c:v>40430.0</c:v>
                </c:pt>
                <c:pt idx="372">
                  <c:v>40437.0</c:v>
                </c:pt>
                <c:pt idx="373">
                  <c:v>40444.0</c:v>
                </c:pt>
                <c:pt idx="374">
                  <c:v>40451.0</c:v>
                </c:pt>
                <c:pt idx="375">
                  <c:v>40458.0</c:v>
                </c:pt>
                <c:pt idx="376">
                  <c:v>40465.0</c:v>
                </c:pt>
                <c:pt idx="377">
                  <c:v>40472.0</c:v>
                </c:pt>
                <c:pt idx="378">
                  <c:v>40479.0</c:v>
                </c:pt>
                <c:pt idx="379">
                  <c:v>40486.0</c:v>
                </c:pt>
                <c:pt idx="380">
                  <c:v>40493.0</c:v>
                </c:pt>
                <c:pt idx="381">
                  <c:v>40500.0</c:v>
                </c:pt>
                <c:pt idx="382">
                  <c:v>40507.0</c:v>
                </c:pt>
                <c:pt idx="383">
                  <c:v>40514.0</c:v>
                </c:pt>
                <c:pt idx="384">
                  <c:v>40521.0</c:v>
                </c:pt>
                <c:pt idx="385">
                  <c:v>40528.0</c:v>
                </c:pt>
                <c:pt idx="386">
                  <c:v>40535.0</c:v>
                </c:pt>
                <c:pt idx="387">
                  <c:v>40542.0</c:v>
                </c:pt>
                <c:pt idx="388">
                  <c:v>40549.0</c:v>
                </c:pt>
                <c:pt idx="389">
                  <c:v>40556.0</c:v>
                </c:pt>
                <c:pt idx="390">
                  <c:v>40563.0</c:v>
                </c:pt>
                <c:pt idx="391">
                  <c:v>40570.0</c:v>
                </c:pt>
                <c:pt idx="392">
                  <c:v>40577.0</c:v>
                </c:pt>
                <c:pt idx="393">
                  <c:v>40584.0</c:v>
                </c:pt>
                <c:pt idx="394">
                  <c:v>40591.0</c:v>
                </c:pt>
                <c:pt idx="395">
                  <c:v>40598.0</c:v>
                </c:pt>
                <c:pt idx="396">
                  <c:v>40605.0</c:v>
                </c:pt>
                <c:pt idx="397">
                  <c:v>40612.0</c:v>
                </c:pt>
                <c:pt idx="398">
                  <c:v>40619.0</c:v>
                </c:pt>
                <c:pt idx="399">
                  <c:v>40626.0</c:v>
                </c:pt>
                <c:pt idx="400">
                  <c:v>40633.0</c:v>
                </c:pt>
                <c:pt idx="401">
                  <c:v>40640.0</c:v>
                </c:pt>
                <c:pt idx="402">
                  <c:v>40647.0</c:v>
                </c:pt>
                <c:pt idx="403">
                  <c:v>40654.0</c:v>
                </c:pt>
                <c:pt idx="404">
                  <c:v>40661.0</c:v>
                </c:pt>
                <c:pt idx="405">
                  <c:v>40668.0</c:v>
                </c:pt>
                <c:pt idx="406">
                  <c:v>40675.0</c:v>
                </c:pt>
                <c:pt idx="407">
                  <c:v>40682.0</c:v>
                </c:pt>
                <c:pt idx="408">
                  <c:v>40689.0</c:v>
                </c:pt>
                <c:pt idx="409">
                  <c:v>40696.0</c:v>
                </c:pt>
                <c:pt idx="410">
                  <c:v>40703.0</c:v>
                </c:pt>
                <c:pt idx="411">
                  <c:v>40710.0</c:v>
                </c:pt>
                <c:pt idx="412">
                  <c:v>40717.0</c:v>
                </c:pt>
                <c:pt idx="413">
                  <c:v>40724.0</c:v>
                </c:pt>
                <c:pt idx="414">
                  <c:v>40731.0</c:v>
                </c:pt>
                <c:pt idx="415">
                  <c:v>40738.0</c:v>
                </c:pt>
                <c:pt idx="416">
                  <c:v>40745.0</c:v>
                </c:pt>
                <c:pt idx="417">
                  <c:v>40752.0</c:v>
                </c:pt>
                <c:pt idx="418">
                  <c:v>40759.0</c:v>
                </c:pt>
                <c:pt idx="419">
                  <c:v>40766.0</c:v>
                </c:pt>
                <c:pt idx="420">
                  <c:v>40773.0</c:v>
                </c:pt>
                <c:pt idx="421">
                  <c:v>40780.0</c:v>
                </c:pt>
                <c:pt idx="422">
                  <c:v>40787.0</c:v>
                </c:pt>
                <c:pt idx="423">
                  <c:v>40794.0</c:v>
                </c:pt>
                <c:pt idx="424">
                  <c:v>40801.0</c:v>
                </c:pt>
                <c:pt idx="425">
                  <c:v>40808.0</c:v>
                </c:pt>
                <c:pt idx="426">
                  <c:v>40815.0</c:v>
                </c:pt>
                <c:pt idx="427">
                  <c:v>40822.0</c:v>
                </c:pt>
                <c:pt idx="428">
                  <c:v>40829.0</c:v>
                </c:pt>
                <c:pt idx="429">
                  <c:v>40836.0</c:v>
                </c:pt>
                <c:pt idx="430">
                  <c:v>40843.0</c:v>
                </c:pt>
                <c:pt idx="431">
                  <c:v>40850.0</c:v>
                </c:pt>
              </c:numCache>
            </c:numRef>
          </c:cat>
          <c:val>
            <c:numRef>
              <c:f>Data!$N$4:$N$481</c:f>
              <c:numCache>
                <c:formatCode>0.00%</c:formatCode>
                <c:ptCount val="478"/>
                <c:pt idx="0">
                  <c:v>0.00358033717529671</c:v>
                </c:pt>
                <c:pt idx="1">
                  <c:v>0.0152890073972129</c:v>
                </c:pt>
                <c:pt idx="2">
                  <c:v>-0.0094507999311888</c:v>
                </c:pt>
                <c:pt idx="3">
                  <c:v>0.0360291587820403</c:v>
                </c:pt>
                <c:pt idx="4">
                  <c:v>0.0620161706519868</c:v>
                </c:pt>
                <c:pt idx="5">
                  <c:v>0.0629300705315672</c:v>
                </c:pt>
                <c:pt idx="6">
                  <c:v>0.0705423189403063</c:v>
                </c:pt>
                <c:pt idx="7">
                  <c:v>0.0496086358162739</c:v>
                </c:pt>
                <c:pt idx="8">
                  <c:v>0.0662093583347667</c:v>
                </c:pt>
                <c:pt idx="9">
                  <c:v>0.0731765009461551</c:v>
                </c:pt>
                <c:pt idx="10">
                  <c:v>0.0679941510407707</c:v>
                </c:pt>
                <c:pt idx="11">
                  <c:v>0.0737570961637708</c:v>
                </c:pt>
                <c:pt idx="12">
                  <c:v>0.0538340787889213</c:v>
                </c:pt>
                <c:pt idx="13">
                  <c:v>0.0510816273868915</c:v>
                </c:pt>
                <c:pt idx="14">
                  <c:v>0.0651449337691381</c:v>
                </c:pt>
                <c:pt idx="15">
                  <c:v>0.067714605195252</c:v>
                </c:pt>
                <c:pt idx="16">
                  <c:v>0.0837884913125752</c:v>
                </c:pt>
                <c:pt idx="17">
                  <c:v>0.0981743505934973</c:v>
                </c:pt>
                <c:pt idx="18">
                  <c:v>0.0952068639256838</c:v>
                </c:pt>
                <c:pt idx="19">
                  <c:v>0.114205229657664</c:v>
                </c:pt>
                <c:pt idx="20">
                  <c:v>0.0717895234818511</c:v>
                </c:pt>
                <c:pt idx="21">
                  <c:v>0.107270342336143</c:v>
                </c:pt>
                <c:pt idx="22">
                  <c:v>0.116097539996559</c:v>
                </c:pt>
                <c:pt idx="23">
                  <c:v>0.117452262170996</c:v>
                </c:pt>
                <c:pt idx="24">
                  <c:v>0.10625967658696</c:v>
                </c:pt>
                <c:pt idx="25">
                  <c:v>0.129698520557371</c:v>
                </c:pt>
                <c:pt idx="26">
                  <c:v>0.132386461379666</c:v>
                </c:pt>
                <c:pt idx="27">
                  <c:v>0.129311457078961</c:v>
                </c:pt>
                <c:pt idx="28">
                  <c:v>0.113108549802168</c:v>
                </c:pt>
                <c:pt idx="29">
                  <c:v>0.137751591260967</c:v>
                </c:pt>
                <c:pt idx="30">
                  <c:v>0.141299673146396</c:v>
                </c:pt>
                <c:pt idx="31">
                  <c:v>0.154889901943919</c:v>
                </c:pt>
                <c:pt idx="32">
                  <c:v>0.170501462239807</c:v>
                </c:pt>
                <c:pt idx="33">
                  <c:v>0.178274987097884</c:v>
                </c:pt>
                <c:pt idx="34">
                  <c:v>0.191811457078961</c:v>
                </c:pt>
                <c:pt idx="35">
                  <c:v>0.206197316359883</c:v>
                </c:pt>
                <c:pt idx="36">
                  <c:v>0.225518234990538</c:v>
                </c:pt>
                <c:pt idx="37">
                  <c:v>0.227367538276277</c:v>
                </c:pt>
                <c:pt idx="38">
                  <c:v>0.216164200928952</c:v>
                </c:pt>
                <c:pt idx="39">
                  <c:v>0.228668501634268</c:v>
                </c:pt>
                <c:pt idx="40">
                  <c:v>0.231947789437468</c:v>
                </c:pt>
                <c:pt idx="41">
                  <c:v>0.230119989678307</c:v>
                </c:pt>
                <c:pt idx="42">
                  <c:v>0.231012386031309</c:v>
                </c:pt>
                <c:pt idx="43">
                  <c:v>0.243828487872011</c:v>
                </c:pt>
                <c:pt idx="44">
                  <c:v>0.204810338895579</c:v>
                </c:pt>
                <c:pt idx="45">
                  <c:v>0.193166179253397</c:v>
                </c:pt>
                <c:pt idx="46">
                  <c:v>0.191359883020815</c:v>
                </c:pt>
                <c:pt idx="47">
                  <c:v>0.227679339411663</c:v>
                </c:pt>
                <c:pt idx="48">
                  <c:v>0.22496989506279</c:v>
                </c:pt>
                <c:pt idx="49">
                  <c:v>0.219905814553587</c:v>
                </c:pt>
                <c:pt idx="50">
                  <c:v>0.226346120763805</c:v>
                </c:pt>
                <c:pt idx="51">
                  <c:v>0.190542749010838</c:v>
                </c:pt>
                <c:pt idx="52">
                  <c:v>0.181296232582143</c:v>
                </c:pt>
                <c:pt idx="53">
                  <c:v>0.17807070359539</c:v>
                </c:pt>
                <c:pt idx="54">
                  <c:v>0.175769826251505</c:v>
                </c:pt>
                <c:pt idx="55">
                  <c:v>0.20492860829176</c:v>
                </c:pt>
                <c:pt idx="56">
                  <c:v>0.206885429210391</c:v>
                </c:pt>
                <c:pt idx="57">
                  <c:v>0.221905642525374</c:v>
                </c:pt>
                <c:pt idx="58">
                  <c:v>0.220346636848443</c:v>
                </c:pt>
                <c:pt idx="59">
                  <c:v>0.219712282814382</c:v>
                </c:pt>
                <c:pt idx="60">
                  <c:v>0.209981937037674</c:v>
                </c:pt>
                <c:pt idx="61">
                  <c:v>0.196466970583176</c:v>
                </c:pt>
                <c:pt idx="62">
                  <c:v>0.184188456906933</c:v>
                </c:pt>
                <c:pt idx="63">
                  <c:v>0.167856528470669</c:v>
                </c:pt>
                <c:pt idx="64">
                  <c:v>0.184543265095476</c:v>
                </c:pt>
                <c:pt idx="65">
                  <c:v>0.143955358678823</c:v>
                </c:pt>
                <c:pt idx="66">
                  <c:v>0.144847755031825</c:v>
                </c:pt>
                <c:pt idx="67">
                  <c:v>0.180919920867022</c:v>
                </c:pt>
                <c:pt idx="68">
                  <c:v>0.191048081885429</c:v>
                </c:pt>
                <c:pt idx="69">
                  <c:v>0.197348615172888</c:v>
                </c:pt>
                <c:pt idx="70">
                  <c:v>0.208412179597454</c:v>
                </c:pt>
                <c:pt idx="71">
                  <c:v>0.213390246000344</c:v>
                </c:pt>
                <c:pt idx="72">
                  <c:v>0.193563994495097</c:v>
                </c:pt>
                <c:pt idx="73">
                  <c:v>0.216562016170652</c:v>
                </c:pt>
                <c:pt idx="74">
                  <c:v>0.20649836573198</c:v>
                </c:pt>
                <c:pt idx="75">
                  <c:v>0.191510407706864</c:v>
                </c:pt>
                <c:pt idx="76">
                  <c:v>0.178113710648546</c:v>
                </c:pt>
                <c:pt idx="77">
                  <c:v>0.215164286943059</c:v>
                </c:pt>
                <c:pt idx="78">
                  <c:v>0.253838379494237</c:v>
                </c:pt>
                <c:pt idx="79">
                  <c:v>0.27319155341476</c:v>
                </c:pt>
                <c:pt idx="80">
                  <c:v>0.258321864785825</c:v>
                </c:pt>
                <c:pt idx="81">
                  <c:v>0.271557285394805</c:v>
                </c:pt>
                <c:pt idx="82">
                  <c:v>0.280717787717186</c:v>
                </c:pt>
                <c:pt idx="83">
                  <c:v>0.277309478754516</c:v>
                </c:pt>
                <c:pt idx="84">
                  <c:v>0.283975571993807</c:v>
                </c:pt>
                <c:pt idx="85">
                  <c:v>0.30110313091347</c:v>
                </c:pt>
                <c:pt idx="86">
                  <c:v>0.303027696542233</c:v>
                </c:pt>
                <c:pt idx="87">
                  <c:v>0.275363409599174</c:v>
                </c:pt>
                <c:pt idx="88">
                  <c:v>0.273567865129881</c:v>
                </c:pt>
                <c:pt idx="89">
                  <c:v>0.255666179253397</c:v>
                </c:pt>
                <c:pt idx="90">
                  <c:v>0.259418544641321</c:v>
                </c:pt>
                <c:pt idx="91">
                  <c:v>0.293469378978152</c:v>
                </c:pt>
                <c:pt idx="92">
                  <c:v>0.295910029244796</c:v>
                </c:pt>
                <c:pt idx="93">
                  <c:v>0.29192112506451</c:v>
                </c:pt>
                <c:pt idx="94">
                  <c:v>0.302436349561328</c:v>
                </c:pt>
                <c:pt idx="95">
                  <c:v>0.313994495097196</c:v>
                </c:pt>
                <c:pt idx="96">
                  <c:v>0.290297608807844</c:v>
                </c:pt>
                <c:pt idx="97">
                  <c:v>0.27908351969723</c:v>
                </c:pt>
                <c:pt idx="98">
                  <c:v>0.259483055221056</c:v>
                </c:pt>
                <c:pt idx="99">
                  <c:v>0.261095819714433</c:v>
                </c:pt>
                <c:pt idx="100">
                  <c:v>0.269998279717874</c:v>
                </c:pt>
                <c:pt idx="101">
                  <c:v>0.228517976948219</c:v>
                </c:pt>
                <c:pt idx="102">
                  <c:v>0.23873215207294</c:v>
                </c:pt>
                <c:pt idx="103">
                  <c:v>0.243817736108722</c:v>
                </c:pt>
                <c:pt idx="104">
                  <c:v>0.259407792878032</c:v>
                </c:pt>
                <c:pt idx="105">
                  <c:v>0.240807242387751</c:v>
                </c:pt>
                <c:pt idx="106">
                  <c:v>0.278685704455531</c:v>
                </c:pt>
                <c:pt idx="107">
                  <c:v>0.288899879580251</c:v>
                </c:pt>
                <c:pt idx="108">
                  <c:v>0.285932392912438</c:v>
                </c:pt>
                <c:pt idx="109">
                  <c:v>0.288179511439876</c:v>
                </c:pt>
                <c:pt idx="110">
                  <c:v>0.308446585239979</c:v>
                </c:pt>
                <c:pt idx="111">
                  <c:v>0.281147858248753</c:v>
                </c:pt>
                <c:pt idx="112">
                  <c:v>0.284233614312747</c:v>
                </c:pt>
                <c:pt idx="113">
                  <c:v>0.302963185962498</c:v>
                </c:pt>
                <c:pt idx="114">
                  <c:v>0.32023051780492</c:v>
                </c:pt>
                <c:pt idx="115">
                  <c:v>0.326423533459487</c:v>
                </c:pt>
                <c:pt idx="116">
                  <c:v>0.326961121623946</c:v>
                </c:pt>
                <c:pt idx="117">
                  <c:v>0.318617753311543</c:v>
                </c:pt>
                <c:pt idx="118">
                  <c:v>0.322886203337347</c:v>
                </c:pt>
                <c:pt idx="119">
                  <c:v>0.311403320144504</c:v>
                </c:pt>
                <c:pt idx="120">
                  <c:v>0.295694993979012</c:v>
                </c:pt>
                <c:pt idx="121">
                  <c:v>0.309586272148632</c:v>
                </c:pt>
                <c:pt idx="122">
                  <c:v>0.334809908825047</c:v>
                </c:pt>
                <c:pt idx="123">
                  <c:v>0.33097152933081</c:v>
                </c:pt>
                <c:pt idx="124">
                  <c:v>0.306651040770686</c:v>
                </c:pt>
                <c:pt idx="125">
                  <c:v>0.321187424737657</c:v>
                </c:pt>
                <c:pt idx="126">
                  <c:v>0.285803371752968</c:v>
                </c:pt>
                <c:pt idx="127">
                  <c:v>0.275771976604163</c:v>
                </c:pt>
                <c:pt idx="128">
                  <c:v>0.268267245828316</c:v>
                </c:pt>
                <c:pt idx="129">
                  <c:v>0.288502064338552</c:v>
                </c:pt>
                <c:pt idx="130">
                  <c:v>0.311865645965938</c:v>
                </c:pt>
                <c:pt idx="131">
                  <c:v>0.327541716841562</c:v>
                </c:pt>
                <c:pt idx="132">
                  <c:v>0.3421103560984</c:v>
                </c:pt>
                <c:pt idx="133">
                  <c:v>0.36359237915018</c:v>
                </c:pt>
                <c:pt idx="134">
                  <c:v>0.36018407018751</c:v>
                </c:pt>
                <c:pt idx="135">
                  <c:v>0.354044813349389</c:v>
                </c:pt>
                <c:pt idx="136">
                  <c:v>0.362592465164287</c:v>
                </c:pt>
                <c:pt idx="137">
                  <c:v>0.364033201445037</c:v>
                </c:pt>
                <c:pt idx="138">
                  <c:v>0.342131859624978</c:v>
                </c:pt>
                <c:pt idx="139">
                  <c:v>0.382085412007569</c:v>
                </c:pt>
                <c:pt idx="140">
                  <c:v>0.384407792878032</c:v>
                </c:pt>
                <c:pt idx="141">
                  <c:v>0.356324187166695</c:v>
                </c:pt>
                <c:pt idx="142">
                  <c:v>0.380225356958541</c:v>
                </c:pt>
                <c:pt idx="143">
                  <c:v>0.359055135042147</c:v>
                </c:pt>
                <c:pt idx="144">
                  <c:v>0.362237656975744</c:v>
                </c:pt>
                <c:pt idx="145">
                  <c:v>0.384009977636332</c:v>
                </c:pt>
                <c:pt idx="146">
                  <c:v>0.386364613796663</c:v>
                </c:pt>
                <c:pt idx="147">
                  <c:v>0.383999225873043</c:v>
                </c:pt>
                <c:pt idx="148">
                  <c:v>0.377924479614657</c:v>
                </c:pt>
                <c:pt idx="149">
                  <c:v>0.40552425597798</c:v>
                </c:pt>
                <c:pt idx="150">
                  <c:v>0.400900997763633</c:v>
                </c:pt>
                <c:pt idx="151">
                  <c:v>0.392170565972819</c:v>
                </c:pt>
                <c:pt idx="152">
                  <c:v>0.392890934113194</c:v>
                </c:pt>
                <c:pt idx="153">
                  <c:v>0.386031309134698</c:v>
                </c:pt>
                <c:pt idx="154">
                  <c:v>0.40985721658352</c:v>
                </c:pt>
                <c:pt idx="155">
                  <c:v>0.409136848443145</c:v>
                </c:pt>
                <c:pt idx="156">
                  <c:v>0.403309392740409</c:v>
                </c:pt>
                <c:pt idx="157">
                  <c:v>0.388310682952004</c:v>
                </c:pt>
                <c:pt idx="158">
                  <c:v>0.362280664028901</c:v>
                </c:pt>
                <c:pt idx="159">
                  <c:v>0.376397729227593</c:v>
                </c:pt>
                <c:pt idx="160">
                  <c:v>0.385063650438672</c:v>
                </c:pt>
                <c:pt idx="161">
                  <c:v>0.346443316703939</c:v>
                </c:pt>
                <c:pt idx="162">
                  <c:v>0.345626182693962</c:v>
                </c:pt>
                <c:pt idx="163">
                  <c:v>0.338056941338379</c:v>
                </c:pt>
                <c:pt idx="164">
                  <c:v>0.365688972991571</c:v>
                </c:pt>
                <c:pt idx="165">
                  <c:v>0.360614140719078</c:v>
                </c:pt>
                <c:pt idx="166">
                  <c:v>0.32913297780836</c:v>
                </c:pt>
                <c:pt idx="167">
                  <c:v>0.333530448993635</c:v>
                </c:pt>
                <c:pt idx="168">
                  <c:v>0.374666695338035</c:v>
                </c:pt>
                <c:pt idx="169">
                  <c:v>0.375483829348013</c:v>
                </c:pt>
                <c:pt idx="170">
                  <c:v>0.36189360055049</c:v>
                </c:pt>
                <c:pt idx="171">
                  <c:v>0.400202133149836</c:v>
                </c:pt>
                <c:pt idx="172">
                  <c:v>0.392450111818338</c:v>
                </c:pt>
                <c:pt idx="173">
                  <c:v>0.409491656631687</c:v>
                </c:pt>
                <c:pt idx="174">
                  <c:v>0.396503526578359</c:v>
                </c:pt>
                <c:pt idx="175">
                  <c:v>0.419071477722346</c:v>
                </c:pt>
                <c:pt idx="176">
                  <c:v>0.413620333734732</c:v>
                </c:pt>
                <c:pt idx="177">
                  <c:v>0.436242043695166</c:v>
                </c:pt>
                <c:pt idx="178">
                  <c:v>0.451036469981077</c:v>
                </c:pt>
                <c:pt idx="179">
                  <c:v>0.468271546533631</c:v>
                </c:pt>
                <c:pt idx="180">
                  <c:v>0.471464820230518</c:v>
                </c:pt>
                <c:pt idx="181">
                  <c:v>0.480840357818682</c:v>
                </c:pt>
                <c:pt idx="182">
                  <c:v>0.466830810252881</c:v>
                </c:pt>
                <c:pt idx="183">
                  <c:v>0.484366936177533</c:v>
                </c:pt>
                <c:pt idx="184">
                  <c:v>0.506504816789954</c:v>
                </c:pt>
                <c:pt idx="185">
                  <c:v>0.506268277997592</c:v>
                </c:pt>
                <c:pt idx="186">
                  <c:v>0.501666523309823</c:v>
                </c:pt>
                <c:pt idx="187">
                  <c:v>0.515794340271804</c:v>
                </c:pt>
                <c:pt idx="188">
                  <c:v>0.534362635472217</c:v>
                </c:pt>
                <c:pt idx="189">
                  <c:v>0.516805006020987</c:v>
                </c:pt>
                <c:pt idx="190">
                  <c:v>0.52463228969551</c:v>
                </c:pt>
                <c:pt idx="191">
                  <c:v>0.5152029932909</c:v>
                </c:pt>
                <c:pt idx="192">
                  <c:v>0.538287029072768</c:v>
                </c:pt>
                <c:pt idx="193">
                  <c:v>0.538007483227249</c:v>
                </c:pt>
                <c:pt idx="194">
                  <c:v>0.528932995011182</c:v>
                </c:pt>
                <c:pt idx="195">
                  <c:v>0.557210132461724</c:v>
                </c:pt>
                <c:pt idx="196">
                  <c:v>0.546103560984001</c:v>
                </c:pt>
                <c:pt idx="197">
                  <c:v>0.564951402029933</c:v>
                </c:pt>
                <c:pt idx="198">
                  <c:v>0.560123860313091</c:v>
                </c:pt>
                <c:pt idx="199">
                  <c:v>0.491387837605367</c:v>
                </c:pt>
                <c:pt idx="200">
                  <c:v>0.50825735420609</c:v>
                </c:pt>
                <c:pt idx="201">
                  <c:v>0.49121580939274</c:v>
                </c:pt>
                <c:pt idx="202">
                  <c:v>0.544071477722346</c:v>
                </c:pt>
                <c:pt idx="203">
                  <c:v>0.52764278341648</c:v>
                </c:pt>
                <c:pt idx="204">
                  <c:v>0.552307328401858</c:v>
                </c:pt>
                <c:pt idx="205">
                  <c:v>0.562059177705144</c:v>
                </c:pt>
                <c:pt idx="206">
                  <c:v>0.595916480302769</c:v>
                </c:pt>
                <c:pt idx="207">
                  <c:v>0.60638869774643</c:v>
                </c:pt>
                <c:pt idx="208">
                  <c:v>0.618753225528987</c:v>
                </c:pt>
                <c:pt idx="209">
                  <c:v>0.618957509031481</c:v>
                </c:pt>
                <c:pt idx="210">
                  <c:v>0.637224754859797</c:v>
                </c:pt>
                <c:pt idx="211">
                  <c:v>0.629483485291588</c:v>
                </c:pt>
                <c:pt idx="212">
                  <c:v>0.651771890590057</c:v>
                </c:pt>
                <c:pt idx="213">
                  <c:v>0.620978840529847</c:v>
                </c:pt>
                <c:pt idx="214">
                  <c:v>0.648137794598314</c:v>
                </c:pt>
                <c:pt idx="215">
                  <c:v>0.615516944778944</c:v>
                </c:pt>
                <c:pt idx="216">
                  <c:v>0.617774815069671</c:v>
                </c:pt>
                <c:pt idx="217">
                  <c:v>0.645482109065887</c:v>
                </c:pt>
                <c:pt idx="218">
                  <c:v>0.669211250645106</c:v>
                </c:pt>
                <c:pt idx="219">
                  <c:v>0.649384999139859</c:v>
                </c:pt>
                <c:pt idx="220">
                  <c:v>0.568607001548254</c:v>
                </c:pt>
                <c:pt idx="221">
                  <c:v>0.540770686392568</c:v>
                </c:pt>
                <c:pt idx="222">
                  <c:v>0.562682779975916</c:v>
                </c:pt>
                <c:pt idx="223">
                  <c:v>0.55464046103561</c:v>
                </c:pt>
                <c:pt idx="224">
                  <c:v>0.590572853948047</c:v>
                </c:pt>
                <c:pt idx="225">
                  <c:v>0.584766901771891</c:v>
                </c:pt>
                <c:pt idx="226">
                  <c:v>0.562768794082229</c:v>
                </c:pt>
                <c:pt idx="227">
                  <c:v>0.595819714433167</c:v>
                </c:pt>
                <c:pt idx="228">
                  <c:v>0.640450283846551</c:v>
                </c:pt>
                <c:pt idx="229">
                  <c:v>0.642106055393084</c:v>
                </c:pt>
                <c:pt idx="230">
                  <c:v>0.673522707724067</c:v>
                </c:pt>
                <c:pt idx="231">
                  <c:v>0.679694219852056</c:v>
                </c:pt>
                <c:pt idx="232">
                  <c:v>0.610388353690005</c:v>
                </c:pt>
                <c:pt idx="233">
                  <c:v>0.652460003440564</c:v>
                </c:pt>
                <c:pt idx="234">
                  <c:v>0.618796232582143</c:v>
                </c:pt>
                <c:pt idx="235">
                  <c:v>0.54101797694822</c:v>
                </c:pt>
                <c:pt idx="236">
                  <c:v>0.592486667813521</c:v>
                </c:pt>
                <c:pt idx="237">
                  <c:v>0.596056253225529</c:v>
                </c:pt>
                <c:pt idx="238">
                  <c:v>0.517751161190435</c:v>
                </c:pt>
                <c:pt idx="239">
                  <c:v>0.506343540340616</c:v>
                </c:pt>
                <c:pt idx="240">
                  <c:v>0.433210046447617</c:v>
                </c:pt>
                <c:pt idx="241">
                  <c:v>0.500322552898675</c:v>
                </c:pt>
                <c:pt idx="242">
                  <c:v>0.431059693789781</c:v>
                </c:pt>
                <c:pt idx="243">
                  <c:v>0.451488044039222</c:v>
                </c:pt>
                <c:pt idx="244">
                  <c:v>0.475141923275417</c:v>
                </c:pt>
                <c:pt idx="245">
                  <c:v>0.368699466712541</c:v>
                </c:pt>
                <c:pt idx="246">
                  <c:v>0.373000172028213</c:v>
                </c:pt>
                <c:pt idx="247">
                  <c:v>0.451488044039222</c:v>
                </c:pt>
                <c:pt idx="248">
                  <c:v>0.422458283158438</c:v>
                </c:pt>
                <c:pt idx="249">
                  <c:v>0.433210046447617</c:v>
                </c:pt>
                <c:pt idx="250">
                  <c:v>0.49449509719594</c:v>
                </c:pt>
                <c:pt idx="251">
                  <c:v>0.520299329089971</c:v>
                </c:pt>
                <c:pt idx="252">
                  <c:v>0.532126268708068</c:v>
                </c:pt>
                <c:pt idx="253">
                  <c:v>0.479442628591089</c:v>
                </c:pt>
                <c:pt idx="254">
                  <c:v>0.505246860485119</c:v>
                </c:pt>
                <c:pt idx="255">
                  <c:v>0.462239807328402</c:v>
                </c:pt>
                <c:pt idx="256">
                  <c:v>0.417082401513848</c:v>
                </c:pt>
                <c:pt idx="257">
                  <c:v>0.332143471529331</c:v>
                </c:pt>
                <c:pt idx="258">
                  <c:v>0.355066230861861</c:v>
                </c:pt>
                <c:pt idx="259">
                  <c:v>0.34670135902288</c:v>
                </c:pt>
                <c:pt idx="260">
                  <c:v>0.362656975744022</c:v>
                </c:pt>
                <c:pt idx="261">
                  <c:v>0.361248494753139</c:v>
                </c:pt>
                <c:pt idx="262">
                  <c:v>0.390127730947875</c:v>
                </c:pt>
                <c:pt idx="263">
                  <c:v>0.389342852227765</c:v>
                </c:pt>
                <c:pt idx="264">
                  <c:v>0.379268450025804</c:v>
                </c:pt>
                <c:pt idx="265">
                  <c:v>0.335702305178049</c:v>
                </c:pt>
                <c:pt idx="266">
                  <c:v>0.345798210906589</c:v>
                </c:pt>
                <c:pt idx="267">
                  <c:v>0.349432306898331</c:v>
                </c:pt>
                <c:pt idx="268">
                  <c:v>0.304479184586272</c:v>
                </c:pt>
                <c:pt idx="269">
                  <c:v>0.18186607603647</c:v>
                </c:pt>
                <c:pt idx="270">
                  <c:v>-0.0331799415104077</c:v>
                </c:pt>
                <c:pt idx="271">
                  <c:v>0.0112570961637708</c:v>
                </c:pt>
                <c:pt idx="272">
                  <c:v>-0.0573176500946155</c:v>
                </c:pt>
                <c:pt idx="273">
                  <c:v>0.0415770686392567</c:v>
                </c:pt>
                <c:pt idx="274">
                  <c:v>0.000978410459315348</c:v>
                </c:pt>
                <c:pt idx="275">
                  <c:v>-0.0610592637192501</c:v>
                </c:pt>
                <c:pt idx="276">
                  <c:v>-0.139826681575778</c:v>
                </c:pt>
                <c:pt idx="277">
                  <c:v>-0.0363839669705832</c:v>
                </c:pt>
                <c:pt idx="278">
                  <c:v>-0.058070273524858</c:v>
                </c:pt>
                <c:pt idx="279">
                  <c:v>-0.0541351281610184</c:v>
                </c:pt>
                <c:pt idx="280">
                  <c:v>-0.0453724410803372</c:v>
                </c:pt>
                <c:pt idx="281">
                  <c:v>-0.0615861001204199</c:v>
                </c:pt>
                <c:pt idx="282">
                  <c:v>0.00184930328573873</c:v>
                </c:pt>
                <c:pt idx="283">
                  <c:v>-0.0427167555479099</c:v>
                </c:pt>
                <c:pt idx="284">
                  <c:v>-0.0859710992602787</c:v>
                </c:pt>
                <c:pt idx="285">
                  <c:v>-0.105507053156718</c:v>
                </c:pt>
                <c:pt idx="286">
                  <c:v>-0.11203337347325</c:v>
                </c:pt>
                <c:pt idx="287">
                  <c:v>-0.0661018407018751</c:v>
                </c:pt>
                <c:pt idx="288">
                  <c:v>-0.111001204197488</c:v>
                </c:pt>
                <c:pt idx="289">
                  <c:v>-0.172060467916738</c:v>
                </c:pt>
                <c:pt idx="290">
                  <c:v>-0.20964863237571</c:v>
                </c:pt>
                <c:pt idx="291">
                  <c:v>-0.265246000344056</c:v>
                </c:pt>
                <c:pt idx="292">
                  <c:v>-0.186575563392396</c:v>
                </c:pt>
                <c:pt idx="293">
                  <c:v>-0.17368419920867</c:v>
                </c:pt>
                <c:pt idx="294">
                  <c:v>-0.122720733700327</c:v>
                </c:pt>
                <c:pt idx="295">
                  <c:v>-0.0941639428866334</c:v>
                </c:pt>
                <c:pt idx="296">
                  <c:v>-0.0790471787373129</c:v>
                </c:pt>
                <c:pt idx="297">
                  <c:v>-0.06502677189059</c:v>
                </c:pt>
                <c:pt idx="298">
                  <c:v>-0.0686500086014107</c:v>
                </c:pt>
                <c:pt idx="299">
                  <c:v>-0.0565114828831928</c:v>
                </c:pt>
                <c:pt idx="300">
                  <c:v>-0.000913899879580237</c:v>
                </c:pt>
                <c:pt idx="301">
                  <c:v>-0.0507484302425598</c:v>
                </c:pt>
                <c:pt idx="302">
                  <c:v>-0.046318596249785</c:v>
                </c:pt>
                <c:pt idx="303">
                  <c:v>-0.0117625365559952</c:v>
                </c:pt>
                <c:pt idx="304">
                  <c:v>0.0107623000172028</c:v>
                </c:pt>
                <c:pt idx="305">
                  <c:v>0.0173425941854464</c:v>
                </c:pt>
                <c:pt idx="306">
                  <c:v>-0.0095153105109238</c:v>
                </c:pt>
                <c:pt idx="307">
                  <c:v>-0.0120205788749356</c:v>
                </c:pt>
                <c:pt idx="308">
                  <c:v>-0.0361905427490109</c:v>
                </c:pt>
                <c:pt idx="309">
                  <c:v>-0.0547803414760021</c:v>
                </c:pt>
                <c:pt idx="310">
                  <c:v>0.0110742086702218</c:v>
                </c:pt>
                <c:pt idx="311">
                  <c:v>0.0528769568209186</c:v>
                </c:pt>
                <c:pt idx="312">
                  <c:v>0.0617151212798899</c:v>
                </c:pt>
                <c:pt idx="313">
                  <c:v>0.0864441768450026</c:v>
                </c:pt>
                <c:pt idx="314">
                  <c:v>0.0795735850679511</c:v>
                </c:pt>
                <c:pt idx="315">
                  <c:v>0.103270578874935</c:v>
                </c:pt>
                <c:pt idx="316">
                  <c:v>0.106281072595906</c:v>
                </c:pt>
                <c:pt idx="317">
                  <c:v>0.0928091131945638</c:v>
                </c:pt>
                <c:pt idx="318">
                  <c:v>0.121118613452606</c:v>
                </c:pt>
                <c:pt idx="319">
                  <c:v>0.148610657147772</c:v>
                </c:pt>
                <c:pt idx="320">
                  <c:v>0.122892546877688</c:v>
                </c:pt>
                <c:pt idx="321">
                  <c:v>0.102281524169964</c:v>
                </c:pt>
                <c:pt idx="322">
                  <c:v>0.152040684672286</c:v>
                </c:pt>
                <c:pt idx="323">
                  <c:v>0.169447681919835</c:v>
                </c:pt>
                <c:pt idx="324">
                  <c:v>0.160760257182178</c:v>
                </c:pt>
                <c:pt idx="325">
                  <c:v>0.11408685274385</c:v>
                </c:pt>
                <c:pt idx="326">
                  <c:v>0.14968583347669</c:v>
                </c:pt>
                <c:pt idx="327">
                  <c:v>0.175683812145192</c:v>
                </c:pt>
                <c:pt idx="328">
                  <c:v>0.173425834336831</c:v>
                </c:pt>
                <c:pt idx="329">
                  <c:v>0.173544211250645</c:v>
                </c:pt>
                <c:pt idx="330">
                  <c:v>0.189123516256666</c:v>
                </c:pt>
                <c:pt idx="331">
                  <c:v>0.189585734560468</c:v>
                </c:pt>
                <c:pt idx="332">
                  <c:v>0.185349647342164</c:v>
                </c:pt>
                <c:pt idx="333">
                  <c:v>0.211164630999484</c:v>
                </c:pt>
                <c:pt idx="334">
                  <c:v>0.198929016858765</c:v>
                </c:pt>
                <c:pt idx="335">
                  <c:v>0.231055393084466</c:v>
                </c:pt>
                <c:pt idx="336">
                  <c:v>0.221432349905385</c:v>
                </c:pt>
                <c:pt idx="337">
                  <c:v>0.173834293824187</c:v>
                </c:pt>
                <c:pt idx="338">
                  <c:v>0.154599496817478</c:v>
                </c:pt>
                <c:pt idx="339">
                  <c:v>0.146342142611388</c:v>
                </c:pt>
                <c:pt idx="340">
                  <c:v>0.156362678479271</c:v>
                </c:pt>
                <c:pt idx="341">
                  <c:v>0.192553221228281</c:v>
                </c:pt>
                <c:pt idx="342">
                  <c:v>0.187521503526578</c:v>
                </c:pt>
                <c:pt idx="343">
                  <c:v>0.224303285738861</c:v>
                </c:pt>
                <c:pt idx="344">
                  <c:v>0.236442026492345</c:v>
                </c:pt>
                <c:pt idx="345">
                  <c:v>0.247097023911922</c:v>
                </c:pt>
                <c:pt idx="346">
                  <c:v>0.254289953552382</c:v>
                </c:pt>
                <c:pt idx="347">
                  <c:v>0.266665233098228</c:v>
                </c:pt>
                <c:pt idx="348">
                  <c:v>0.284158351969723</c:v>
                </c:pt>
                <c:pt idx="349">
                  <c:v>0.281749956992947</c:v>
                </c:pt>
                <c:pt idx="350">
                  <c:v>0.308790641665233</c:v>
                </c:pt>
                <c:pt idx="351">
                  <c:v>0.275900997763633</c:v>
                </c:pt>
                <c:pt idx="352">
                  <c:v>0.194391880268364</c:v>
                </c:pt>
                <c:pt idx="353">
                  <c:v>0.221056253225529</c:v>
                </c:pt>
                <c:pt idx="354">
                  <c:v>0.169458541200757</c:v>
                </c:pt>
                <c:pt idx="355">
                  <c:v>0.171307844486496</c:v>
                </c:pt>
                <c:pt idx="356">
                  <c:v>0.144933769138139</c:v>
                </c:pt>
                <c:pt idx="357">
                  <c:v>0.173662480646826</c:v>
                </c:pt>
                <c:pt idx="358">
                  <c:v>0.20152029932909</c:v>
                </c:pt>
                <c:pt idx="359">
                  <c:v>0.157706863925684</c:v>
                </c:pt>
                <c:pt idx="360">
                  <c:v>0.0994538104249096</c:v>
                </c:pt>
                <c:pt idx="361">
                  <c:v>0.158997075520385</c:v>
                </c:pt>
                <c:pt idx="362">
                  <c:v>0.144933769138139</c:v>
                </c:pt>
                <c:pt idx="363">
                  <c:v>0.185553930844659</c:v>
                </c:pt>
                <c:pt idx="364">
                  <c:v>0.184414243936005</c:v>
                </c:pt>
                <c:pt idx="365">
                  <c:v>0.205960777567521</c:v>
                </c:pt>
                <c:pt idx="366">
                  <c:v>0.160384052984689</c:v>
                </c:pt>
                <c:pt idx="367">
                  <c:v>0.15225571993807</c:v>
                </c:pt>
                <c:pt idx="368">
                  <c:v>0.144621968002752</c:v>
                </c:pt>
                <c:pt idx="369">
                  <c:v>0.187543007053157</c:v>
                </c:pt>
                <c:pt idx="370">
                  <c:v>0.192961895750903</c:v>
                </c:pt>
                <c:pt idx="371">
                  <c:v>0.210207724066747</c:v>
                </c:pt>
                <c:pt idx="372">
                  <c:v>0.235022793738173</c:v>
                </c:pt>
                <c:pt idx="373">
                  <c:v>0.232410115258902</c:v>
                </c:pt>
                <c:pt idx="374">
                  <c:v>0.252741699638741</c:v>
                </c:pt>
                <c:pt idx="375">
                  <c:v>0.264611646309995</c:v>
                </c:pt>
                <c:pt idx="376">
                  <c:v>0.272019611216239</c:v>
                </c:pt>
                <c:pt idx="377">
                  <c:v>0.272213142955445</c:v>
                </c:pt>
                <c:pt idx="378">
                  <c:v>0.31800490280406</c:v>
                </c:pt>
                <c:pt idx="379">
                  <c:v>0.289362205401686</c:v>
                </c:pt>
                <c:pt idx="380">
                  <c:v>0.289921297092723</c:v>
                </c:pt>
                <c:pt idx="381">
                  <c:v>0.278814725615001</c:v>
                </c:pt>
                <c:pt idx="382">
                  <c:v>0.316779201789093</c:v>
                </c:pt>
                <c:pt idx="383">
                  <c:v>0.333648718389816</c:v>
                </c:pt>
                <c:pt idx="384">
                  <c:v>0.337422587304318</c:v>
                </c:pt>
                <c:pt idx="385">
                  <c:v>0.351249354894203</c:v>
                </c:pt>
                <c:pt idx="386">
                  <c:v>0.352184758300361</c:v>
                </c:pt>
                <c:pt idx="387">
                  <c:v>0.367086702219164</c:v>
                </c:pt>
                <c:pt idx="388">
                  <c:v>0.39046103560984</c:v>
                </c:pt>
                <c:pt idx="389">
                  <c:v>0.379827541716841</c:v>
                </c:pt>
                <c:pt idx="390">
                  <c:v>0.372290555651127</c:v>
                </c:pt>
                <c:pt idx="391">
                  <c:v>0.409416394288663</c:v>
                </c:pt>
                <c:pt idx="392">
                  <c:v>0.429070617581283</c:v>
                </c:pt>
                <c:pt idx="393">
                  <c:v>0.443972561500086</c:v>
                </c:pt>
                <c:pt idx="394">
                  <c:v>0.419103733012214</c:v>
                </c:pt>
                <c:pt idx="395">
                  <c:v>0.42046920694994</c:v>
                </c:pt>
                <c:pt idx="396">
                  <c:v>0.402330982281094</c:v>
                </c:pt>
                <c:pt idx="397">
                  <c:v>0.372688370892826</c:v>
                </c:pt>
                <c:pt idx="398">
                  <c:v>0.407427318080165</c:v>
                </c:pt>
                <c:pt idx="399">
                  <c:v>0.432575692413556</c:v>
                </c:pt>
                <c:pt idx="400">
                  <c:v>0.428016944778944</c:v>
                </c:pt>
                <c:pt idx="401">
                  <c:v>0.413340787889214</c:v>
                </c:pt>
                <c:pt idx="402">
                  <c:v>0.437919318768278</c:v>
                </c:pt>
                <c:pt idx="403">
                  <c:v>0.462755891966282</c:v>
                </c:pt>
                <c:pt idx="404">
                  <c:v>0.435467916738345</c:v>
                </c:pt>
                <c:pt idx="405">
                  <c:v>0.450036555995183</c:v>
                </c:pt>
                <c:pt idx="406">
                  <c:v>0.444606915534147</c:v>
                </c:pt>
                <c:pt idx="407">
                  <c:v>0.431167211422673</c:v>
                </c:pt>
                <c:pt idx="408">
                  <c:v>0.397901255805952</c:v>
                </c:pt>
                <c:pt idx="409">
                  <c:v>0.366527610528126</c:v>
                </c:pt>
                <c:pt idx="410">
                  <c:v>0.367086702219164</c:v>
                </c:pt>
                <c:pt idx="411">
                  <c:v>0.363807414415964</c:v>
                </c:pt>
                <c:pt idx="412">
                  <c:v>0.4403814725615</c:v>
                </c:pt>
                <c:pt idx="413">
                  <c:v>0.444821950799931</c:v>
                </c:pt>
                <c:pt idx="414">
                  <c:v>0.415082573542061</c:v>
                </c:pt>
                <c:pt idx="415">
                  <c:v>0.446133665921211</c:v>
                </c:pt>
                <c:pt idx="416">
                  <c:v>0.389428866334079</c:v>
                </c:pt>
                <c:pt idx="417">
                  <c:v>0.289544985377602</c:v>
                </c:pt>
                <c:pt idx="418">
                  <c:v>0.26742860829176</c:v>
                </c:pt>
                <c:pt idx="419">
                  <c:v>0.207992860829176</c:v>
                </c:pt>
                <c:pt idx="420">
                  <c:v>0.246419662824703</c:v>
                </c:pt>
                <c:pt idx="421">
                  <c:v>0.294963874075348</c:v>
                </c:pt>
                <c:pt idx="422">
                  <c:v>0.241000774126957</c:v>
                </c:pt>
                <c:pt idx="423">
                  <c:v>0.307425167727507</c:v>
                </c:pt>
                <c:pt idx="424">
                  <c:v>0.221862635472218</c:v>
                </c:pt>
                <c:pt idx="425">
                  <c:v>0.216476002064339</c:v>
                </c:pt>
                <c:pt idx="426">
                  <c:v>0.252548167899536</c:v>
                </c:pt>
                <c:pt idx="427">
                  <c:v>0.294146740065371</c:v>
                </c:pt>
                <c:pt idx="428">
                  <c:v>0.306758558403578</c:v>
                </c:pt>
                <c:pt idx="429">
                  <c:v>0.3811607603647</c:v>
                </c:pt>
                <c:pt idx="430">
                  <c:v>0.355958627214863</c:v>
                </c:pt>
                <c:pt idx="431">
                  <c:v>0.358861603302941</c:v>
                </c:pt>
                <c:pt idx="432">
                  <c:v>0.307038104249097</c:v>
                </c:pt>
                <c:pt idx="433">
                  <c:v>0.245774557027352</c:v>
                </c:pt>
                <c:pt idx="434">
                  <c:v>0.337820402546017</c:v>
                </c:pt>
                <c:pt idx="435">
                  <c:v>0.349550576294512</c:v>
                </c:pt>
                <c:pt idx="436">
                  <c:v>0.311349561328058</c:v>
                </c:pt>
                <c:pt idx="437">
                  <c:v>0.36045286426974</c:v>
                </c:pt>
                <c:pt idx="438">
                  <c:v>0.352141751247204</c:v>
                </c:pt>
                <c:pt idx="439">
                  <c:v>0.373871064854636</c:v>
                </c:pt>
                <c:pt idx="440">
                  <c:v>0.392890934113194</c:v>
                </c:pt>
                <c:pt idx="441">
                  <c:v>0.413319284362635</c:v>
                </c:pt>
                <c:pt idx="442">
                  <c:v>0.417544727335283</c:v>
                </c:pt>
                <c:pt idx="443">
                  <c:v>0.425189231033889</c:v>
                </c:pt>
                <c:pt idx="444">
                  <c:v>0.453584637880612</c:v>
                </c:pt>
                <c:pt idx="445">
                  <c:v>0.460132461723723</c:v>
                </c:pt>
                <c:pt idx="446">
                  <c:v>0.465959917426458</c:v>
                </c:pt>
                <c:pt idx="447">
                  <c:v>0.474045243419921</c:v>
                </c:pt>
                <c:pt idx="448">
                  <c:v>0.475120419748839</c:v>
                </c:pt>
                <c:pt idx="449">
                  <c:v>0.509095991742646</c:v>
                </c:pt>
                <c:pt idx="450">
                  <c:v>0.497494839153621</c:v>
                </c:pt>
                <c:pt idx="451">
                  <c:v>0.499806468260795</c:v>
                </c:pt>
                <c:pt idx="452">
                  <c:v>0.503182521933597</c:v>
                </c:pt>
                <c:pt idx="453">
                  <c:v>0.491731894030621</c:v>
                </c:pt>
                <c:pt idx="454">
                  <c:v>0.480431790813693</c:v>
                </c:pt>
                <c:pt idx="455">
                  <c:v>0.505225356958541</c:v>
                </c:pt>
                <c:pt idx="456">
                  <c:v>0.496183124032341</c:v>
                </c:pt>
                <c:pt idx="457">
                  <c:v>0.460121709960433</c:v>
                </c:pt>
                <c:pt idx="458">
                  <c:v>0.402954584551866</c:v>
                </c:pt>
                <c:pt idx="459">
                  <c:v>0.419963874075348</c:v>
                </c:pt>
                <c:pt idx="460">
                  <c:v>0.408835799071048</c:v>
                </c:pt>
                <c:pt idx="461">
                  <c:v>0.413846120763805</c:v>
                </c:pt>
                <c:pt idx="462">
                  <c:v>0.429016858764837</c:v>
                </c:pt>
                <c:pt idx="463">
                  <c:v>0.425156975744022</c:v>
                </c:pt>
                <c:pt idx="464">
                  <c:v>0.428952348185102</c:v>
                </c:pt>
                <c:pt idx="465">
                  <c:v>0.4703896439016</c:v>
                </c:pt>
                <c:pt idx="466">
                  <c:v>0.435102356786513</c:v>
                </c:pt>
                <c:pt idx="467">
                  <c:v>0.479990968518837</c:v>
                </c:pt>
                <c:pt idx="468">
                  <c:v>0.46226131085498</c:v>
                </c:pt>
                <c:pt idx="469">
                  <c:v>0.467615688972991</c:v>
                </c:pt>
                <c:pt idx="470">
                  <c:v>0.50825735420609</c:v>
                </c:pt>
                <c:pt idx="471">
                  <c:v>0.52227765353518</c:v>
                </c:pt>
                <c:pt idx="472">
                  <c:v>0.507483227249269</c:v>
                </c:pt>
                <c:pt idx="473">
                  <c:v>0.505322122828144</c:v>
                </c:pt>
                <c:pt idx="474">
                  <c:v>0.539781524169964</c:v>
                </c:pt>
                <c:pt idx="475">
                  <c:v>0.569746688456907</c:v>
                </c:pt>
                <c:pt idx="476">
                  <c:v>0.570036986065715</c:v>
                </c:pt>
                <c:pt idx="477">
                  <c:v>0.570036986065715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EB-4ABF-BF61-F9DA7BFEC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7149520"/>
        <c:axId val="-1727146128"/>
      </c:lineChart>
      <c:dateAx>
        <c:axId val="-172714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727146128"/>
        <c:crosses val="autoZero"/>
        <c:auto val="1"/>
        <c:lblOffset val="100"/>
        <c:baseTimeUnit val="days"/>
      </c:dateAx>
      <c:valAx>
        <c:axId val="-1727146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 Change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727149520"/>
        <c:crosses val="autoZero"/>
        <c:crossBetween val="between"/>
      </c:valAx>
      <c:spPr>
        <a:solidFill>
          <a:srgbClr val="DCE6F2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10714304444155"/>
          <c:y val="0.0698690712979677"/>
          <c:w val="0.180059508374724"/>
          <c:h val="0.04148465922133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0000000000015" l="0.700000000000001" r="0.700000000000001" t="0.75000000000001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IPO vs S&amp;P 500 Returns Since January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12632615286951"/>
          <c:y val="0.131004366812233"/>
          <c:w val="0.908736738471305"/>
          <c:h val="0.794759825327518"/>
        </c:manualLayout>
      </c:layout>
      <c:lineChart>
        <c:grouping val="stacked"/>
        <c:varyColors val="0"/>
        <c:ser>
          <c:idx val="0"/>
          <c:order val="0"/>
          <c:tx>
            <c:v>IPO</c:v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Data!$B$195:$B$444</c:f>
              <c:numCache>
                <c:formatCode>m/d/yy</c:formatCode>
                <c:ptCount val="250"/>
                <c:pt idx="0">
                  <c:v>39087.0</c:v>
                </c:pt>
                <c:pt idx="1">
                  <c:v>39094.0</c:v>
                </c:pt>
                <c:pt idx="2">
                  <c:v>39101.0</c:v>
                </c:pt>
                <c:pt idx="3">
                  <c:v>39108.0</c:v>
                </c:pt>
                <c:pt idx="4">
                  <c:v>39115.0</c:v>
                </c:pt>
                <c:pt idx="5">
                  <c:v>39122.0</c:v>
                </c:pt>
                <c:pt idx="6">
                  <c:v>39129.0</c:v>
                </c:pt>
                <c:pt idx="7">
                  <c:v>39136.0</c:v>
                </c:pt>
                <c:pt idx="8">
                  <c:v>39143.0</c:v>
                </c:pt>
                <c:pt idx="9">
                  <c:v>39150.0</c:v>
                </c:pt>
                <c:pt idx="10">
                  <c:v>39157.0</c:v>
                </c:pt>
                <c:pt idx="11">
                  <c:v>39164.0</c:v>
                </c:pt>
                <c:pt idx="12">
                  <c:v>39171.0</c:v>
                </c:pt>
                <c:pt idx="13">
                  <c:v>39178.0</c:v>
                </c:pt>
                <c:pt idx="14">
                  <c:v>39185.0</c:v>
                </c:pt>
                <c:pt idx="15">
                  <c:v>39192.0</c:v>
                </c:pt>
                <c:pt idx="16">
                  <c:v>39199.0</c:v>
                </c:pt>
                <c:pt idx="17">
                  <c:v>39206.0</c:v>
                </c:pt>
                <c:pt idx="18">
                  <c:v>39213.0</c:v>
                </c:pt>
                <c:pt idx="19">
                  <c:v>39220.0</c:v>
                </c:pt>
                <c:pt idx="20">
                  <c:v>39227.0</c:v>
                </c:pt>
                <c:pt idx="21">
                  <c:v>39234.0</c:v>
                </c:pt>
                <c:pt idx="22">
                  <c:v>39241.0</c:v>
                </c:pt>
                <c:pt idx="23">
                  <c:v>39248.0</c:v>
                </c:pt>
                <c:pt idx="24">
                  <c:v>39255.0</c:v>
                </c:pt>
                <c:pt idx="25">
                  <c:v>39262.0</c:v>
                </c:pt>
                <c:pt idx="26">
                  <c:v>39269.0</c:v>
                </c:pt>
                <c:pt idx="27">
                  <c:v>39276.0</c:v>
                </c:pt>
                <c:pt idx="28">
                  <c:v>39283.0</c:v>
                </c:pt>
                <c:pt idx="29">
                  <c:v>39290.0</c:v>
                </c:pt>
                <c:pt idx="30">
                  <c:v>39297.0</c:v>
                </c:pt>
                <c:pt idx="31">
                  <c:v>39304.0</c:v>
                </c:pt>
                <c:pt idx="32">
                  <c:v>39311.0</c:v>
                </c:pt>
                <c:pt idx="33">
                  <c:v>39318.0</c:v>
                </c:pt>
                <c:pt idx="34">
                  <c:v>39325.0</c:v>
                </c:pt>
                <c:pt idx="35">
                  <c:v>39332.0</c:v>
                </c:pt>
                <c:pt idx="36">
                  <c:v>39339.0</c:v>
                </c:pt>
                <c:pt idx="37">
                  <c:v>39346.0</c:v>
                </c:pt>
                <c:pt idx="38">
                  <c:v>39353.0</c:v>
                </c:pt>
                <c:pt idx="39">
                  <c:v>39360.0</c:v>
                </c:pt>
                <c:pt idx="40">
                  <c:v>39367.0</c:v>
                </c:pt>
                <c:pt idx="41">
                  <c:v>39374.0</c:v>
                </c:pt>
                <c:pt idx="42">
                  <c:v>39381.0</c:v>
                </c:pt>
                <c:pt idx="43">
                  <c:v>39388.0</c:v>
                </c:pt>
                <c:pt idx="44">
                  <c:v>39405.0</c:v>
                </c:pt>
                <c:pt idx="45">
                  <c:v>39417.0</c:v>
                </c:pt>
                <c:pt idx="46">
                  <c:v>39438.0</c:v>
                </c:pt>
                <c:pt idx="47">
                  <c:v>39452.0</c:v>
                </c:pt>
                <c:pt idx="48">
                  <c:v>39459.0</c:v>
                </c:pt>
                <c:pt idx="49">
                  <c:v>39466.0</c:v>
                </c:pt>
                <c:pt idx="50">
                  <c:v>39480.0</c:v>
                </c:pt>
                <c:pt idx="51">
                  <c:v>39487.0</c:v>
                </c:pt>
                <c:pt idx="52">
                  <c:v>39496.0</c:v>
                </c:pt>
                <c:pt idx="53">
                  <c:v>39503.0</c:v>
                </c:pt>
                <c:pt idx="54">
                  <c:v>39510.0</c:v>
                </c:pt>
                <c:pt idx="55">
                  <c:v>39517.0</c:v>
                </c:pt>
                <c:pt idx="56">
                  <c:v>39531.0</c:v>
                </c:pt>
                <c:pt idx="57">
                  <c:v>39538.0</c:v>
                </c:pt>
                <c:pt idx="58">
                  <c:v>39549.0</c:v>
                </c:pt>
                <c:pt idx="59">
                  <c:v>39556.0</c:v>
                </c:pt>
                <c:pt idx="60">
                  <c:v>39571.0</c:v>
                </c:pt>
                <c:pt idx="61">
                  <c:v>39585.0</c:v>
                </c:pt>
                <c:pt idx="62">
                  <c:v>39592.0</c:v>
                </c:pt>
                <c:pt idx="63">
                  <c:v>39599.0</c:v>
                </c:pt>
                <c:pt idx="64">
                  <c:v>39606.0</c:v>
                </c:pt>
                <c:pt idx="65">
                  <c:v>39620.0</c:v>
                </c:pt>
                <c:pt idx="66">
                  <c:v>39639.0</c:v>
                </c:pt>
                <c:pt idx="67">
                  <c:v>39646.0</c:v>
                </c:pt>
                <c:pt idx="68">
                  <c:v>39653.0</c:v>
                </c:pt>
                <c:pt idx="69">
                  <c:v>39660.0</c:v>
                </c:pt>
                <c:pt idx="70">
                  <c:v>39667.0</c:v>
                </c:pt>
                <c:pt idx="71">
                  <c:v>39674.0</c:v>
                </c:pt>
                <c:pt idx="72">
                  <c:v>39681.0</c:v>
                </c:pt>
                <c:pt idx="73">
                  <c:v>39688.0</c:v>
                </c:pt>
                <c:pt idx="74">
                  <c:v>39695.0</c:v>
                </c:pt>
                <c:pt idx="75">
                  <c:v>39702.0</c:v>
                </c:pt>
                <c:pt idx="76">
                  <c:v>39709.0</c:v>
                </c:pt>
                <c:pt idx="77">
                  <c:v>39716.0</c:v>
                </c:pt>
                <c:pt idx="78">
                  <c:v>39723.0</c:v>
                </c:pt>
                <c:pt idx="79">
                  <c:v>39730.0</c:v>
                </c:pt>
                <c:pt idx="80">
                  <c:v>39737.0</c:v>
                </c:pt>
                <c:pt idx="81">
                  <c:v>39744.0</c:v>
                </c:pt>
                <c:pt idx="82">
                  <c:v>39751.0</c:v>
                </c:pt>
                <c:pt idx="83">
                  <c:v>39758.0</c:v>
                </c:pt>
                <c:pt idx="84">
                  <c:v>39765.0</c:v>
                </c:pt>
                <c:pt idx="85">
                  <c:v>39772.0</c:v>
                </c:pt>
                <c:pt idx="86">
                  <c:v>39779.0</c:v>
                </c:pt>
                <c:pt idx="87">
                  <c:v>39786.0</c:v>
                </c:pt>
                <c:pt idx="88">
                  <c:v>39793.0</c:v>
                </c:pt>
                <c:pt idx="89">
                  <c:v>39800.0</c:v>
                </c:pt>
                <c:pt idx="90">
                  <c:v>39807.0</c:v>
                </c:pt>
                <c:pt idx="91">
                  <c:v>39814.0</c:v>
                </c:pt>
                <c:pt idx="92">
                  <c:v>39821.0</c:v>
                </c:pt>
                <c:pt idx="93">
                  <c:v>39828.0</c:v>
                </c:pt>
                <c:pt idx="94">
                  <c:v>39835.0</c:v>
                </c:pt>
                <c:pt idx="95">
                  <c:v>39842.0</c:v>
                </c:pt>
                <c:pt idx="96">
                  <c:v>39849.0</c:v>
                </c:pt>
                <c:pt idx="97">
                  <c:v>39856.0</c:v>
                </c:pt>
                <c:pt idx="98">
                  <c:v>39863.0</c:v>
                </c:pt>
                <c:pt idx="99">
                  <c:v>39870.0</c:v>
                </c:pt>
                <c:pt idx="100">
                  <c:v>39877.0</c:v>
                </c:pt>
                <c:pt idx="101">
                  <c:v>39884.0</c:v>
                </c:pt>
                <c:pt idx="102">
                  <c:v>39891.0</c:v>
                </c:pt>
                <c:pt idx="103">
                  <c:v>39898.0</c:v>
                </c:pt>
                <c:pt idx="104">
                  <c:v>39905.0</c:v>
                </c:pt>
                <c:pt idx="105">
                  <c:v>39912.0</c:v>
                </c:pt>
                <c:pt idx="106">
                  <c:v>39919.0</c:v>
                </c:pt>
                <c:pt idx="107">
                  <c:v>39926.0</c:v>
                </c:pt>
                <c:pt idx="108">
                  <c:v>39933.0</c:v>
                </c:pt>
                <c:pt idx="109">
                  <c:v>39940.0</c:v>
                </c:pt>
                <c:pt idx="110">
                  <c:v>39947.0</c:v>
                </c:pt>
                <c:pt idx="111">
                  <c:v>39954.0</c:v>
                </c:pt>
                <c:pt idx="112">
                  <c:v>39961.0</c:v>
                </c:pt>
                <c:pt idx="113">
                  <c:v>39968.0</c:v>
                </c:pt>
                <c:pt idx="114">
                  <c:v>39975.0</c:v>
                </c:pt>
                <c:pt idx="115">
                  <c:v>39982.0</c:v>
                </c:pt>
                <c:pt idx="116">
                  <c:v>39989.0</c:v>
                </c:pt>
                <c:pt idx="117">
                  <c:v>39996.0</c:v>
                </c:pt>
                <c:pt idx="118">
                  <c:v>40003.0</c:v>
                </c:pt>
                <c:pt idx="119">
                  <c:v>40010.0</c:v>
                </c:pt>
                <c:pt idx="120">
                  <c:v>40017.0</c:v>
                </c:pt>
                <c:pt idx="121">
                  <c:v>40024.0</c:v>
                </c:pt>
                <c:pt idx="122">
                  <c:v>40031.0</c:v>
                </c:pt>
                <c:pt idx="123">
                  <c:v>40038.0</c:v>
                </c:pt>
                <c:pt idx="124">
                  <c:v>40045.0</c:v>
                </c:pt>
                <c:pt idx="125">
                  <c:v>40052.0</c:v>
                </c:pt>
                <c:pt idx="126">
                  <c:v>40059.0</c:v>
                </c:pt>
                <c:pt idx="127">
                  <c:v>40066.0</c:v>
                </c:pt>
                <c:pt idx="128">
                  <c:v>40073.0</c:v>
                </c:pt>
                <c:pt idx="129">
                  <c:v>40080.0</c:v>
                </c:pt>
                <c:pt idx="130">
                  <c:v>40087.0</c:v>
                </c:pt>
                <c:pt idx="131">
                  <c:v>40094.0</c:v>
                </c:pt>
                <c:pt idx="132">
                  <c:v>40101.0</c:v>
                </c:pt>
                <c:pt idx="133">
                  <c:v>40108.0</c:v>
                </c:pt>
                <c:pt idx="134">
                  <c:v>40115.0</c:v>
                </c:pt>
                <c:pt idx="135">
                  <c:v>40122.0</c:v>
                </c:pt>
                <c:pt idx="136">
                  <c:v>40129.0</c:v>
                </c:pt>
                <c:pt idx="137">
                  <c:v>40136.0</c:v>
                </c:pt>
                <c:pt idx="138">
                  <c:v>40143.0</c:v>
                </c:pt>
                <c:pt idx="139">
                  <c:v>40150.0</c:v>
                </c:pt>
                <c:pt idx="140">
                  <c:v>40157.0</c:v>
                </c:pt>
                <c:pt idx="141">
                  <c:v>40164.0</c:v>
                </c:pt>
                <c:pt idx="142">
                  <c:v>40171.0</c:v>
                </c:pt>
                <c:pt idx="143">
                  <c:v>40178.0</c:v>
                </c:pt>
                <c:pt idx="144">
                  <c:v>40185.0</c:v>
                </c:pt>
                <c:pt idx="145">
                  <c:v>40192.0</c:v>
                </c:pt>
                <c:pt idx="146">
                  <c:v>40199.0</c:v>
                </c:pt>
                <c:pt idx="147">
                  <c:v>40206.0</c:v>
                </c:pt>
                <c:pt idx="148">
                  <c:v>40213.0</c:v>
                </c:pt>
                <c:pt idx="149">
                  <c:v>40220.0</c:v>
                </c:pt>
                <c:pt idx="150">
                  <c:v>40227.0</c:v>
                </c:pt>
                <c:pt idx="151">
                  <c:v>40234.0</c:v>
                </c:pt>
                <c:pt idx="152">
                  <c:v>40241.0</c:v>
                </c:pt>
                <c:pt idx="153">
                  <c:v>40248.0</c:v>
                </c:pt>
                <c:pt idx="154">
                  <c:v>40255.0</c:v>
                </c:pt>
                <c:pt idx="155">
                  <c:v>40262.0</c:v>
                </c:pt>
                <c:pt idx="156">
                  <c:v>40269.0</c:v>
                </c:pt>
                <c:pt idx="157">
                  <c:v>40276.0</c:v>
                </c:pt>
                <c:pt idx="158">
                  <c:v>40283.0</c:v>
                </c:pt>
                <c:pt idx="159">
                  <c:v>40290.0</c:v>
                </c:pt>
                <c:pt idx="160">
                  <c:v>40297.0</c:v>
                </c:pt>
                <c:pt idx="161">
                  <c:v>40304.0</c:v>
                </c:pt>
                <c:pt idx="162">
                  <c:v>40311.0</c:v>
                </c:pt>
                <c:pt idx="163">
                  <c:v>40318.0</c:v>
                </c:pt>
                <c:pt idx="164">
                  <c:v>40325.0</c:v>
                </c:pt>
                <c:pt idx="165">
                  <c:v>40332.0</c:v>
                </c:pt>
                <c:pt idx="166">
                  <c:v>40339.0</c:v>
                </c:pt>
                <c:pt idx="167">
                  <c:v>40346.0</c:v>
                </c:pt>
                <c:pt idx="168">
                  <c:v>40353.0</c:v>
                </c:pt>
                <c:pt idx="169">
                  <c:v>40360.0</c:v>
                </c:pt>
                <c:pt idx="170">
                  <c:v>40367.0</c:v>
                </c:pt>
                <c:pt idx="171">
                  <c:v>40374.0</c:v>
                </c:pt>
                <c:pt idx="172">
                  <c:v>40381.0</c:v>
                </c:pt>
                <c:pt idx="173">
                  <c:v>40388.0</c:v>
                </c:pt>
                <c:pt idx="174">
                  <c:v>40395.0</c:v>
                </c:pt>
                <c:pt idx="175">
                  <c:v>40402.0</c:v>
                </c:pt>
                <c:pt idx="176">
                  <c:v>40409.0</c:v>
                </c:pt>
                <c:pt idx="177">
                  <c:v>40416.0</c:v>
                </c:pt>
                <c:pt idx="178">
                  <c:v>40423.0</c:v>
                </c:pt>
                <c:pt idx="179">
                  <c:v>40430.0</c:v>
                </c:pt>
                <c:pt idx="180">
                  <c:v>40437.0</c:v>
                </c:pt>
                <c:pt idx="181">
                  <c:v>40444.0</c:v>
                </c:pt>
                <c:pt idx="182">
                  <c:v>40451.0</c:v>
                </c:pt>
                <c:pt idx="183">
                  <c:v>40458.0</c:v>
                </c:pt>
                <c:pt idx="184">
                  <c:v>40465.0</c:v>
                </c:pt>
                <c:pt idx="185">
                  <c:v>40472.0</c:v>
                </c:pt>
                <c:pt idx="186">
                  <c:v>40479.0</c:v>
                </c:pt>
                <c:pt idx="187">
                  <c:v>40486.0</c:v>
                </c:pt>
                <c:pt idx="188">
                  <c:v>40493.0</c:v>
                </c:pt>
                <c:pt idx="189">
                  <c:v>40500.0</c:v>
                </c:pt>
                <c:pt idx="190">
                  <c:v>40507.0</c:v>
                </c:pt>
                <c:pt idx="191">
                  <c:v>40514.0</c:v>
                </c:pt>
                <c:pt idx="192">
                  <c:v>40521.0</c:v>
                </c:pt>
                <c:pt idx="193">
                  <c:v>40528.0</c:v>
                </c:pt>
                <c:pt idx="194">
                  <c:v>40535.0</c:v>
                </c:pt>
                <c:pt idx="195">
                  <c:v>40542.0</c:v>
                </c:pt>
                <c:pt idx="196">
                  <c:v>40549.0</c:v>
                </c:pt>
                <c:pt idx="197">
                  <c:v>40556.0</c:v>
                </c:pt>
                <c:pt idx="198">
                  <c:v>40563.0</c:v>
                </c:pt>
                <c:pt idx="199">
                  <c:v>40570.0</c:v>
                </c:pt>
                <c:pt idx="200">
                  <c:v>40577.0</c:v>
                </c:pt>
                <c:pt idx="201">
                  <c:v>40584.0</c:v>
                </c:pt>
                <c:pt idx="202">
                  <c:v>40591.0</c:v>
                </c:pt>
                <c:pt idx="203">
                  <c:v>40598.0</c:v>
                </c:pt>
                <c:pt idx="204">
                  <c:v>40605.0</c:v>
                </c:pt>
                <c:pt idx="205">
                  <c:v>40612.0</c:v>
                </c:pt>
                <c:pt idx="206">
                  <c:v>40619.0</c:v>
                </c:pt>
                <c:pt idx="207">
                  <c:v>40626.0</c:v>
                </c:pt>
                <c:pt idx="208">
                  <c:v>40633.0</c:v>
                </c:pt>
                <c:pt idx="209">
                  <c:v>40640.0</c:v>
                </c:pt>
                <c:pt idx="210">
                  <c:v>40647.0</c:v>
                </c:pt>
                <c:pt idx="211">
                  <c:v>40654.0</c:v>
                </c:pt>
                <c:pt idx="212">
                  <c:v>40661.0</c:v>
                </c:pt>
                <c:pt idx="213">
                  <c:v>40668.0</c:v>
                </c:pt>
                <c:pt idx="214">
                  <c:v>40675.0</c:v>
                </c:pt>
                <c:pt idx="215">
                  <c:v>40682.0</c:v>
                </c:pt>
                <c:pt idx="216">
                  <c:v>40689.0</c:v>
                </c:pt>
                <c:pt idx="217">
                  <c:v>40696.0</c:v>
                </c:pt>
                <c:pt idx="218">
                  <c:v>40703.0</c:v>
                </c:pt>
                <c:pt idx="219">
                  <c:v>40710.0</c:v>
                </c:pt>
                <c:pt idx="220">
                  <c:v>40717.0</c:v>
                </c:pt>
                <c:pt idx="221">
                  <c:v>40724.0</c:v>
                </c:pt>
                <c:pt idx="222">
                  <c:v>40731.0</c:v>
                </c:pt>
                <c:pt idx="223">
                  <c:v>40738.0</c:v>
                </c:pt>
                <c:pt idx="224">
                  <c:v>40745.0</c:v>
                </c:pt>
                <c:pt idx="225">
                  <c:v>40752.0</c:v>
                </c:pt>
                <c:pt idx="226">
                  <c:v>40759.0</c:v>
                </c:pt>
                <c:pt idx="227">
                  <c:v>40766.0</c:v>
                </c:pt>
                <c:pt idx="228">
                  <c:v>40773.0</c:v>
                </c:pt>
                <c:pt idx="229">
                  <c:v>40780.0</c:v>
                </c:pt>
                <c:pt idx="230">
                  <c:v>40787.0</c:v>
                </c:pt>
                <c:pt idx="231">
                  <c:v>40794.0</c:v>
                </c:pt>
                <c:pt idx="232">
                  <c:v>40801.0</c:v>
                </c:pt>
                <c:pt idx="233">
                  <c:v>40808.0</c:v>
                </c:pt>
                <c:pt idx="234">
                  <c:v>40815.0</c:v>
                </c:pt>
                <c:pt idx="235">
                  <c:v>40822.0</c:v>
                </c:pt>
                <c:pt idx="236">
                  <c:v>40829.0</c:v>
                </c:pt>
                <c:pt idx="237">
                  <c:v>40836.0</c:v>
                </c:pt>
                <c:pt idx="238">
                  <c:v>40843.0</c:v>
                </c:pt>
                <c:pt idx="239">
                  <c:v>40850.0</c:v>
                </c:pt>
                <c:pt idx="240">
                  <c:v>40857.0</c:v>
                </c:pt>
                <c:pt idx="241">
                  <c:v>40864.0</c:v>
                </c:pt>
                <c:pt idx="242">
                  <c:v>40871.0</c:v>
                </c:pt>
                <c:pt idx="243">
                  <c:v>40878.0</c:v>
                </c:pt>
                <c:pt idx="244">
                  <c:v>40885.0</c:v>
                </c:pt>
                <c:pt idx="245">
                  <c:v>40892.0</c:v>
                </c:pt>
                <c:pt idx="246">
                  <c:v>40899.0</c:v>
                </c:pt>
                <c:pt idx="247">
                  <c:v>40906.0</c:v>
                </c:pt>
                <c:pt idx="248">
                  <c:v>40913.0</c:v>
                </c:pt>
                <c:pt idx="249">
                  <c:v>40920.0</c:v>
                </c:pt>
              </c:numCache>
            </c:numRef>
          </c:cat>
          <c:val>
            <c:numRef>
              <c:f>Data!$I$195:$I$444</c:f>
              <c:numCache>
                <c:formatCode>0.00%</c:formatCode>
                <c:ptCount val="250"/>
                <c:pt idx="0">
                  <c:v>0.514448160974105</c:v>
                </c:pt>
                <c:pt idx="1">
                  <c:v>0.514491913448855</c:v>
                </c:pt>
                <c:pt idx="2">
                  <c:v>0.514535665923604</c:v>
                </c:pt>
                <c:pt idx="3">
                  <c:v>0.485877794962778</c:v>
                </c:pt>
                <c:pt idx="4">
                  <c:v>0.485921547437527</c:v>
                </c:pt>
                <c:pt idx="5">
                  <c:v>0.485965299912276</c:v>
                </c:pt>
                <c:pt idx="6">
                  <c:v>0.486009052387026</c:v>
                </c:pt>
                <c:pt idx="7">
                  <c:v>0.442212825162923</c:v>
                </c:pt>
                <c:pt idx="8">
                  <c:v>0.442256577637673</c:v>
                </c:pt>
                <c:pt idx="9">
                  <c:v>0.442300330112422</c:v>
                </c:pt>
                <c:pt idx="10">
                  <c:v>0.442344082587171</c:v>
                </c:pt>
                <c:pt idx="11">
                  <c:v>0.442387835061921</c:v>
                </c:pt>
                <c:pt idx="12">
                  <c:v>0.456257369557466</c:v>
                </c:pt>
                <c:pt idx="13">
                  <c:v>0.456301122032215</c:v>
                </c:pt>
                <c:pt idx="14">
                  <c:v>0.456344874506964</c:v>
                </c:pt>
                <c:pt idx="15">
                  <c:v>0.456388626981714</c:v>
                </c:pt>
                <c:pt idx="16">
                  <c:v>0.527311388550415</c:v>
                </c:pt>
                <c:pt idx="17">
                  <c:v>0.527355141025164</c:v>
                </c:pt>
                <c:pt idx="18">
                  <c:v>0.527398893499914</c:v>
                </c:pt>
                <c:pt idx="19">
                  <c:v>0.527442645974663</c:v>
                </c:pt>
                <c:pt idx="20">
                  <c:v>0.559950734713432</c:v>
                </c:pt>
                <c:pt idx="21">
                  <c:v>0.559950734713432</c:v>
                </c:pt>
                <c:pt idx="22">
                  <c:v>0.559950734713432</c:v>
                </c:pt>
                <c:pt idx="23">
                  <c:v>0.559950734713432</c:v>
                </c:pt>
                <c:pt idx="24">
                  <c:v>0.559950734713432</c:v>
                </c:pt>
                <c:pt idx="25">
                  <c:v>0.590796229411726</c:v>
                </c:pt>
                <c:pt idx="26">
                  <c:v>0.590839981886476</c:v>
                </c:pt>
                <c:pt idx="27">
                  <c:v>0.590883734361225</c:v>
                </c:pt>
                <c:pt idx="28">
                  <c:v>0.590927486835974</c:v>
                </c:pt>
                <c:pt idx="29">
                  <c:v>0.600290516432336</c:v>
                </c:pt>
                <c:pt idx="30">
                  <c:v>0.600334268907085</c:v>
                </c:pt>
                <c:pt idx="31">
                  <c:v>0.600378021381835</c:v>
                </c:pt>
                <c:pt idx="32">
                  <c:v>0.600421773856584</c:v>
                </c:pt>
                <c:pt idx="33">
                  <c:v>0.600465526331333</c:v>
                </c:pt>
                <c:pt idx="34">
                  <c:v>0.635555011080314</c:v>
                </c:pt>
                <c:pt idx="35">
                  <c:v>0.635598763555064</c:v>
                </c:pt>
                <c:pt idx="36">
                  <c:v>0.635642516029813</c:v>
                </c:pt>
                <c:pt idx="37">
                  <c:v>0.635686268504562</c:v>
                </c:pt>
                <c:pt idx="38">
                  <c:v>0.731110415932901</c:v>
                </c:pt>
                <c:pt idx="39">
                  <c:v>0.731154168407651</c:v>
                </c:pt>
                <c:pt idx="40">
                  <c:v>0.7311979208824</c:v>
                </c:pt>
                <c:pt idx="41">
                  <c:v>0.726297643710472</c:v>
                </c:pt>
                <c:pt idx="42">
                  <c:v>0.726297643710472</c:v>
                </c:pt>
                <c:pt idx="43">
                  <c:v>0.706346515224767</c:v>
                </c:pt>
                <c:pt idx="44">
                  <c:v>0.684470277850091</c:v>
                </c:pt>
                <c:pt idx="45">
                  <c:v>0.641330337747229</c:v>
                </c:pt>
                <c:pt idx="46">
                  <c:v>0.624377128831349</c:v>
                </c:pt>
                <c:pt idx="47">
                  <c:v>0.705690228103527</c:v>
                </c:pt>
                <c:pt idx="48">
                  <c:v>0.614685080624873</c:v>
                </c:pt>
                <c:pt idx="49">
                  <c:v>0.52494875491395</c:v>
                </c:pt>
                <c:pt idx="50">
                  <c:v>0.626804516130444</c:v>
                </c:pt>
                <c:pt idx="51">
                  <c:v>0.558331893147706</c:v>
                </c:pt>
                <c:pt idx="52">
                  <c:v>0.581389447340615</c:v>
                </c:pt>
                <c:pt idx="53">
                  <c:v>0.610441090574186</c:v>
                </c:pt>
                <c:pt idx="54">
                  <c:v>0.502766250216028</c:v>
                </c:pt>
                <c:pt idx="55">
                  <c:v>0.523373665822973</c:v>
                </c:pt>
                <c:pt idx="56">
                  <c:v>0.595433991735158</c:v>
                </c:pt>
                <c:pt idx="57">
                  <c:v>0.568744982138052</c:v>
                </c:pt>
                <c:pt idx="58">
                  <c:v>0.587646051229773</c:v>
                </c:pt>
                <c:pt idx="59">
                  <c:v>0.631179763605379</c:v>
                </c:pt>
                <c:pt idx="60">
                  <c:v>0.69199570350698</c:v>
                </c:pt>
                <c:pt idx="61">
                  <c:v>0.685739099617822</c:v>
                </c:pt>
                <c:pt idx="62">
                  <c:v>0.654674842545781</c:v>
                </c:pt>
                <c:pt idx="63">
                  <c:v>0.691908198557481</c:v>
                </c:pt>
                <c:pt idx="64">
                  <c:v>0.648374486181875</c:v>
                </c:pt>
                <c:pt idx="65">
                  <c:v>0.609916060877193</c:v>
                </c:pt>
                <c:pt idx="66">
                  <c:v>0.569051249461298</c:v>
                </c:pt>
                <c:pt idx="67">
                  <c:v>0.575152532065095</c:v>
                </c:pt>
                <c:pt idx="68">
                  <c:v>0.577068015409622</c:v>
                </c:pt>
                <c:pt idx="69">
                  <c:v>0.630264461833623</c:v>
                </c:pt>
                <c:pt idx="70">
                  <c:v>0.619028388793241</c:v>
                </c:pt>
                <c:pt idx="71">
                  <c:v>0.612013554516678</c:v>
                </c:pt>
                <c:pt idx="72">
                  <c:v>0.6184071036518</c:v>
                </c:pt>
                <c:pt idx="73">
                  <c:v>0.58582419818121</c:v>
                </c:pt>
                <c:pt idx="74">
                  <c:v>0.535932813699775</c:v>
                </c:pt>
                <c:pt idx="75">
                  <c:v>0.535713613801281</c:v>
                </c:pt>
                <c:pt idx="76">
                  <c:v>0.489888584323051</c:v>
                </c:pt>
                <c:pt idx="77">
                  <c:v>0.512816631190702</c:v>
                </c:pt>
                <c:pt idx="78">
                  <c:v>0.407526738231131</c:v>
                </c:pt>
                <c:pt idx="79">
                  <c:v>0.142384991151062</c:v>
                </c:pt>
                <c:pt idx="80">
                  <c:v>0.194442560657337</c:v>
                </c:pt>
                <c:pt idx="81">
                  <c:v>0.140621766418663</c:v>
                </c:pt>
                <c:pt idx="82">
                  <c:v>0.176637053533341</c:v>
                </c:pt>
                <c:pt idx="83">
                  <c:v>0.166054642465715</c:v>
                </c:pt>
                <c:pt idx="84">
                  <c:v>0.152532940144427</c:v>
                </c:pt>
                <c:pt idx="85">
                  <c:v>0.14322328856726</c:v>
                </c:pt>
                <c:pt idx="86">
                  <c:v>0.121802514454724</c:v>
                </c:pt>
                <c:pt idx="87">
                  <c:v>0.125874994804394</c:v>
                </c:pt>
                <c:pt idx="88">
                  <c:v>0.133242911552185</c:v>
                </c:pt>
                <c:pt idx="89">
                  <c:v>0.142194667885903</c:v>
                </c:pt>
                <c:pt idx="90">
                  <c:v>0.137491714375094</c:v>
                </c:pt>
                <c:pt idx="91">
                  <c:v>0.145830498537574</c:v>
                </c:pt>
                <c:pt idx="92">
                  <c:v>0.134953633314884</c:v>
                </c:pt>
                <c:pt idx="93">
                  <c:v>0.0935156644797721</c:v>
                </c:pt>
                <c:pt idx="94">
                  <c:v>0.0225285867731892</c:v>
                </c:pt>
                <c:pt idx="95">
                  <c:v>0.0375899386809066</c:v>
                </c:pt>
                <c:pt idx="96">
                  <c:v>0.0594810518969979</c:v>
                </c:pt>
                <c:pt idx="97">
                  <c:v>0.0275417453299702</c:v>
                </c:pt>
                <c:pt idx="98">
                  <c:v>0.0262681107900167</c:v>
                </c:pt>
                <c:pt idx="99">
                  <c:v>-0.0370176563111851</c:v>
                </c:pt>
                <c:pt idx="100">
                  <c:v>-0.0660793626139479</c:v>
                </c:pt>
                <c:pt idx="101">
                  <c:v>-0.0648941080729879</c:v>
                </c:pt>
                <c:pt idx="102">
                  <c:v>-0.0238236600257702</c:v>
                </c:pt>
                <c:pt idx="103">
                  <c:v>0.0461391722469304</c:v>
                </c:pt>
                <c:pt idx="104">
                  <c:v>0.00517285508961618</c:v>
                </c:pt>
                <c:pt idx="105">
                  <c:v>0.118091429546484</c:v>
                </c:pt>
                <c:pt idx="106">
                  <c:v>0.139556831183264</c:v>
                </c:pt>
                <c:pt idx="107">
                  <c:v>0.12226060286535</c:v>
                </c:pt>
                <c:pt idx="108">
                  <c:v>0.168095695412772</c:v>
                </c:pt>
                <c:pt idx="109">
                  <c:v>0.198546105264079</c:v>
                </c:pt>
                <c:pt idx="110">
                  <c:v>0.176974166351284</c:v>
                </c:pt>
                <c:pt idx="111">
                  <c:v>0.193464255321942</c:v>
                </c:pt>
                <c:pt idx="112">
                  <c:v>0.206939142495247</c:v>
                </c:pt>
                <c:pt idx="113">
                  <c:v>0.235257931776766</c:v>
                </c:pt>
                <c:pt idx="114">
                  <c:v>0.313475980985175</c:v>
                </c:pt>
                <c:pt idx="115">
                  <c:v>0.238172721644568</c:v>
                </c:pt>
                <c:pt idx="116">
                  <c:v>0.234163244858537</c:v>
                </c:pt>
                <c:pt idx="117">
                  <c:v>0.238787006390049</c:v>
                </c:pt>
                <c:pt idx="118">
                  <c:v>0.181141808333534</c:v>
                </c:pt>
                <c:pt idx="119">
                  <c:v>0.254729533139218</c:v>
                </c:pt>
                <c:pt idx="120">
                  <c:v>0.299561381440638</c:v>
                </c:pt>
                <c:pt idx="121">
                  <c:v>0.308958537967304</c:v>
                </c:pt>
                <c:pt idx="122">
                  <c:v>0.314807368791797</c:v>
                </c:pt>
                <c:pt idx="123">
                  <c:v>0.34893998691801</c:v>
                </c:pt>
                <c:pt idx="124">
                  <c:v>0.332059901513179</c:v>
                </c:pt>
                <c:pt idx="125">
                  <c:v>0.343460864505149</c:v>
                </c:pt>
                <c:pt idx="126">
                  <c:v>0.343028590054625</c:v>
                </c:pt>
                <c:pt idx="127">
                  <c:v>0.392094365337539</c:v>
                </c:pt>
                <c:pt idx="128">
                  <c:v>0.41578974179477</c:v>
                </c:pt>
                <c:pt idx="129">
                  <c:v>0.38379408335284</c:v>
                </c:pt>
                <c:pt idx="130">
                  <c:v>0.362036852709481</c:v>
                </c:pt>
                <c:pt idx="131">
                  <c:v>0.419913063832673</c:v>
                </c:pt>
                <c:pt idx="132">
                  <c:v>0.45357884305331</c:v>
                </c:pt>
                <c:pt idx="133">
                  <c:v>0.440306529838094</c:v>
                </c:pt>
                <c:pt idx="134">
                  <c:v>0.417447174355799</c:v>
                </c:pt>
                <c:pt idx="135">
                  <c:v>0.427570621963305</c:v>
                </c:pt>
                <c:pt idx="136">
                  <c:v>0.436596319979349</c:v>
                </c:pt>
                <c:pt idx="137">
                  <c:v>0.441231894679043</c:v>
                </c:pt>
                <c:pt idx="138">
                  <c:v>0.450958069815824</c:v>
                </c:pt>
                <c:pt idx="139">
                  <c:v>0.462299523754313</c:v>
                </c:pt>
                <c:pt idx="140">
                  <c:v>0.465498329749276</c:v>
                </c:pt>
                <c:pt idx="141">
                  <c:v>0.46124558920364</c:v>
                </c:pt>
                <c:pt idx="142">
                  <c:v>0.496015803393879</c:v>
                </c:pt>
                <c:pt idx="143">
                  <c:v>0.480983709641076</c:v>
                </c:pt>
                <c:pt idx="144">
                  <c:v>0.538246704454221</c:v>
                </c:pt>
                <c:pt idx="145">
                  <c:v>0.551268368492093</c:v>
                </c:pt>
                <c:pt idx="146">
                  <c:v>0.515056586388168</c:v>
                </c:pt>
                <c:pt idx="147">
                  <c:v>0.419985449239473</c:v>
                </c:pt>
                <c:pt idx="148">
                  <c:v>0.444034240686739</c:v>
                </c:pt>
                <c:pt idx="149">
                  <c:v>0.486445702085024</c:v>
                </c:pt>
                <c:pt idx="150">
                  <c:v>0.470291225659952</c:v>
                </c:pt>
                <c:pt idx="151">
                  <c:v>0.499255962805453</c:v>
                </c:pt>
                <c:pt idx="152">
                  <c:v>0.51521073109006</c:v>
                </c:pt>
                <c:pt idx="153">
                  <c:v>0.530283324639272</c:v>
                </c:pt>
                <c:pt idx="154">
                  <c:v>0.545355918188483</c:v>
                </c:pt>
                <c:pt idx="155">
                  <c:v>0.560428511737695</c:v>
                </c:pt>
                <c:pt idx="156">
                  <c:v>0.57287609299151</c:v>
                </c:pt>
                <c:pt idx="157">
                  <c:v>0.582449569803792</c:v>
                </c:pt>
                <c:pt idx="158">
                  <c:v>0.626283422887357</c:v>
                </c:pt>
                <c:pt idx="159">
                  <c:v>0.629685204444376</c:v>
                </c:pt>
                <c:pt idx="160">
                  <c:v>0.581995493932626</c:v>
                </c:pt>
                <c:pt idx="161">
                  <c:v>0.459445967662546</c:v>
                </c:pt>
                <c:pt idx="162">
                  <c:v>0.509532570436015</c:v>
                </c:pt>
                <c:pt idx="163">
                  <c:v>0.47306663283142</c:v>
                </c:pt>
                <c:pt idx="164">
                  <c:v>0.436600257702076</c:v>
                </c:pt>
                <c:pt idx="165">
                  <c:v>0.402839971385882</c:v>
                </c:pt>
                <c:pt idx="166">
                  <c:v>0.43735192521827</c:v>
                </c:pt>
                <c:pt idx="167">
                  <c:v>0.468832268325177</c:v>
                </c:pt>
                <c:pt idx="168">
                  <c:v>0.409377121393429</c:v>
                </c:pt>
                <c:pt idx="169">
                  <c:v>0.416442089443184</c:v>
                </c:pt>
                <c:pt idx="170">
                  <c:v>0.439988644045179</c:v>
                </c:pt>
                <c:pt idx="171">
                  <c:v>0.444859968016941</c:v>
                </c:pt>
                <c:pt idx="172">
                  <c:v>0.451990982614954</c:v>
                </c:pt>
                <c:pt idx="173">
                  <c:v>0.477087564890389</c:v>
                </c:pt>
                <c:pt idx="174">
                  <c:v>0.440152958651724</c:v>
                </c:pt>
                <c:pt idx="175">
                  <c:v>0.403217994517815</c:v>
                </c:pt>
                <c:pt idx="176">
                  <c:v>0.366283411905486</c:v>
                </c:pt>
                <c:pt idx="177">
                  <c:v>0.446092322534493</c:v>
                </c:pt>
                <c:pt idx="178">
                  <c:v>0.43858502965324</c:v>
                </c:pt>
                <c:pt idx="179">
                  <c:v>0.45095357206142</c:v>
                </c:pt>
                <c:pt idx="180">
                  <c:v>0.43519674219073</c:v>
                </c:pt>
                <c:pt idx="181">
                  <c:v>0.458161794026475</c:v>
                </c:pt>
                <c:pt idx="182">
                  <c:v>0.465725428282037</c:v>
                </c:pt>
                <c:pt idx="183">
                  <c:v>0.493941450875815</c:v>
                </c:pt>
                <c:pt idx="184">
                  <c:v>0.503361202055491</c:v>
                </c:pt>
                <c:pt idx="185">
                  <c:v>0.491959388952938</c:v>
                </c:pt>
                <c:pt idx="186">
                  <c:v>0.487258711445866</c:v>
                </c:pt>
                <c:pt idx="187">
                  <c:v>0.603810820862055</c:v>
                </c:pt>
                <c:pt idx="188">
                  <c:v>0.613183325494348</c:v>
                </c:pt>
                <c:pt idx="189">
                  <c:v>0.611841169766165</c:v>
                </c:pt>
                <c:pt idx="190">
                  <c:v>0.610276572956157</c:v>
                </c:pt>
                <c:pt idx="191">
                  <c:v>0.614927023497266</c:v>
                </c:pt>
                <c:pt idx="192">
                  <c:v>0.619577474038375</c:v>
                </c:pt>
                <c:pt idx="193">
                  <c:v>0.624227924579483</c:v>
                </c:pt>
                <c:pt idx="194">
                  <c:v>0.628878713327222</c:v>
                </c:pt>
                <c:pt idx="195">
                  <c:v>0.633145686552896</c:v>
                </c:pt>
                <c:pt idx="196">
                  <c:v>0.654466994664385</c:v>
                </c:pt>
                <c:pt idx="197">
                  <c:v>0.683638980829853</c:v>
                </c:pt>
                <c:pt idx="198">
                  <c:v>0.670607597179715</c:v>
                </c:pt>
                <c:pt idx="199">
                  <c:v>0.68414009017385</c:v>
                </c:pt>
                <c:pt idx="200">
                  <c:v>0.715290355860753</c:v>
                </c:pt>
                <c:pt idx="201">
                  <c:v>0.706167567603043</c:v>
                </c:pt>
                <c:pt idx="202">
                  <c:v>0.696082541231238</c:v>
                </c:pt>
                <c:pt idx="203">
                  <c:v>0.69719393503195</c:v>
                </c:pt>
                <c:pt idx="204">
                  <c:v>0.703725920497378</c:v>
                </c:pt>
                <c:pt idx="205">
                  <c:v>0.69194465661964</c:v>
                </c:pt>
                <c:pt idx="206">
                  <c:v>0.656468305926054</c:v>
                </c:pt>
                <c:pt idx="207">
                  <c:v>0.706603110800955</c:v>
                </c:pt>
                <c:pt idx="208">
                  <c:v>0.746604821085192</c:v>
                </c:pt>
                <c:pt idx="209">
                  <c:v>0.736421258014906</c:v>
                </c:pt>
                <c:pt idx="210">
                  <c:v>0.728003990225697</c:v>
                </c:pt>
                <c:pt idx="211">
                  <c:v>0.761212118560456</c:v>
                </c:pt>
                <c:pt idx="212">
                  <c:v>0.772981534268032</c:v>
                </c:pt>
                <c:pt idx="213">
                  <c:v>0.727217320729704</c:v>
                </c:pt>
                <c:pt idx="214">
                  <c:v>0.751409376592863</c:v>
                </c:pt>
                <c:pt idx="215">
                  <c:v>0.744917384389555</c:v>
                </c:pt>
                <c:pt idx="216">
                  <c:v>0.676328379823984</c:v>
                </c:pt>
                <c:pt idx="217">
                  <c:v>0.66540688707705</c:v>
                </c:pt>
                <c:pt idx="218">
                  <c:v>0.625272741989469</c:v>
                </c:pt>
                <c:pt idx="219">
                  <c:v>0.610680416611065</c:v>
                </c:pt>
                <c:pt idx="220">
                  <c:v>0.637903206400112</c:v>
                </c:pt>
                <c:pt idx="221">
                  <c:v>0.667293493788243</c:v>
                </c:pt>
                <c:pt idx="222">
                  <c:v>0.700309986283599</c:v>
                </c:pt>
                <c:pt idx="223">
                  <c:v>0.654093372156363</c:v>
                </c:pt>
                <c:pt idx="224">
                  <c:v>0.677328561396754</c:v>
                </c:pt>
                <c:pt idx="225">
                  <c:v>0.614568261517292</c:v>
                </c:pt>
                <c:pt idx="226">
                  <c:v>0.513062520098793</c:v>
                </c:pt>
                <c:pt idx="227">
                  <c:v>0.476286377448224</c:v>
                </c:pt>
                <c:pt idx="228">
                  <c:v>0.44645156491664</c:v>
                </c:pt>
                <c:pt idx="229">
                  <c:v>0.472644421450088</c:v>
                </c:pt>
                <c:pt idx="230">
                  <c:v>0.521624879407242</c:v>
                </c:pt>
                <c:pt idx="231">
                  <c:v>0.503746743175161</c:v>
                </c:pt>
                <c:pt idx="232">
                  <c:v>0.526564533806444</c:v>
                </c:pt>
                <c:pt idx="233">
                  <c:v>0.431420839741248</c:v>
                </c:pt>
                <c:pt idx="234">
                  <c:v>0.449512925574853</c:v>
                </c:pt>
                <c:pt idx="235">
                  <c:v>0.49451978377527</c:v>
                </c:pt>
                <c:pt idx="236">
                  <c:v>0.579017625684453</c:v>
                </c:pt>
                <c:pt idx="237">
                  <c:v>0.575109217115093</c:v>
                </c:pt>
                <c:pt idx="238">
                  <c:v>0.676922975955827</c:v>
                </c:pt>
                <c:pt idx="239">
                  <c:v>0.660639617428361</c:v>
                </c:pt>
                <c:pt idx="240">
                  <c:v>0.62975518302754</c:v>
                </c:pt>
                <c:pt idx="241">
                  <c:v>0.614302683995564</c:v>
                </c:pt>
                <c:pt idx="242">
                  <c:v>0.549373573942776</c:v>
                </c:pt>
                <c:pt idx="243">
                  <c:v>0.652058882080518</c:v>
                </c:pt>
                <c:pt idx="244">
                  <c:v>0.640081642117882</c:v>
                </c:pt>
                <c:pt idx="245">
                  <c:v>0.612746845993476</c:v>
                </c:pt>
                <c:pt idx="246">
                  <c:v>0.666146741425062</c:v>
                </c:pt>
                <c:pt idx="247">
                  <c:v>0.675657216861329</c:v>
                </c:pt>
                <c:pt idx="248">
                  <c:v>0.702554925762988</c:v>
                </c:pt>
                <c:pt idx="249">
                  <c:v>0.72004016477182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C7-4064-930F-2C2ACEB3E88F}"/>
            </c:ext>
          </c:extLst>
        </c:ser>
        <c:ser>
          <c:idx val="1"/>
          <c:order val="1"/>
          <c:tx>
            <c:v>S&amp;P 500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Data!$B$195:$B$444</c:f>
              <c:numCache>
                <c:formatCode>m/d/yy</c:formatCode>
                <c:ptCount val="250"/>
                <c:pt idx="0">
                  <c:v>39087.0</c:v>
                </c:pt>
                <c:pt idx="1">
                  <c:v>39094.0</c:v>
                </c:pt>
                <c:pt idx="2">
                  <c:v>39101.0</c:v>
                </c:pt>
                <c:pt idx="3">
                  <c:v>39108.0</c:v>
                </c:pt>
                <c:pt idx="4">
                  <c:v>39115.0</c:v>
                </c:pt>
                <c:pt idx="5">
                  <c:v>39122.0</c:v>
                </c:pt>
                <c:pt idx="6">
                  <c:v>39129.0</c:v>
                </c:pt>
                <c:pt idx="7">
                  <c:v>39136.0</c:v>
                </c:pt>
                <c:pt idx="8">
                  <c:v>39143.0</c:v>
                </c:pt>
                <c:pt idx="9">
                  <c:v>39150.0</c:v>
                </c:pt>
                <c:pt idx="10">
                  <c:v>39157.0</c:v>
                </c:pt>
                <c:pt idx="11">
                  <c:v>39164.0</c:v>
                </c:pt>
                <c:pt idx="12">
                  <c:v>39171.0</c:v>
                </c:pt>
                <c:pt idx="13">
                  <c:v>39178.0</c:v>
                </c:pt>
                <c:pt idx="14">
                  <c:v>39185.0</c:v>
                </c:pt>
                <c:pt idx="15">
                  <c:v>39192.0</c:v>
                </c:pt>
                <c:pt idx="16">
                  <c:v>39199.0</c:v>
                </c:pt>
                <c:pt idx="17">
                  <c:v>39206.0</c:v>
                </c:pt>
                <c:pt idx="18">
                  <c:v>39213.0</c:v>
                </c:pt>
                <c:pt idx="19">
                  <c:v>39220.0</c:v>
                </c:pt>
                <c:pt idx="20">
                  <c:v>39227.0</c:v>
                </c:pt>
                <c:pt idx="21">
                  <c:v>39234.0</c:v>
                </c:pt>
                <c:pt idx="22">
                  <c:v>39241.0</c:v>
                </c:pt>
                <c:pt idx="23">
                  <c:v>39248.0</c:v>
                </c:pt>
                <c:pt idx="24">
                  <c:v>39255.0</c:v>
                </c:pt>
                <c:pt idx="25">
                  <c:v>39262.0</c:v>
                </c:pt>
                <c:pt idx="26">
                  <c:v>39269.0</c:v>
                </c:pt>
                <c:pt idx="27">
                  <c:v>39276.0</c:v>
                </c:pt>
                <c:pt idx="28">
                  <c:v>39283.0</c:v>
                </c:pt>
                <c:pt idx="29">
                  <c:v>39290.0</c:v>
                </c:pt>
                <c:pt idx="30">
                  <c:v>39297.0</c:v>
                </c:pt>
                <c:pt idx="31">
                  <c:v>39304.0</c:v>
                </c:pt>
                <c:pt idx="32">
                  <c:v>39311.0</c:v>
                </c:pt>
                <c:pt idx="33">
                  <c:v>39318.0</c:v>
                </c:pt>
                <c:pt idx="34">
                  <c:v>39325.0</c:v>
                </c:pt>
                <c:pt idx="35">
                  <c:v>39332.0</c:v>
                </c:pt>
                <c:pt idx="36">
                  <c:v>39339.0</c:v>
                </c:pt>
                <c:pt idx="37">
                  <c:v>39346.0</c:v>
                </c:pt>
                <c:pt idx="38">
                  <c:v>39353.0</c:v>
                </c:pt>
                <c:pt idx="39">
                  <c:v>39360.0</c:v>
                </c:pt>
                <c:pt idx="40">
                  <c:v>39367.0</c:v>
                </c:pt>
                <c:pt idx="41">
                  <c:v>39374.0</c:v>
                </c:pt>
                <c:pt idx="42">
                  <c:v>39381.0</c:v>
                </c:pt>
                <c:pt idx="43">
                  <c:v>39388.0</c:v>
                </c:pt>
                <c:pt idx="44">
                  <c:v>39405.0</c:v>
                </c:pt>
                <c:pt idx="45">
                  <c:v>39417.0</c:v>
                </c:pt>
                <c:pt idx="46">
                  <c:v>39438.0</c:v>
                </c:pt>
                <c:pt idx="47">
                  <c:v>39452.0</c:v>
                </c:pt>
                <c:pt idx="48">
                  <c:v>39459.0</c:v>
                </c:pt>
                <c:pt idx="49">
                  <c:v>39466.0</c:v>
                </c:pt>
                <c:pt idx="50">
                  <c:v>39480.0</c:v>
                </c:pt>
                <c:pt idx="51">
                  <c:v>39487.0</c:v>
                </c:pt>
                <c:pt idx="52">
                  <c:v>39496.0</c:v>
                </c:pt>
                <c:pt idx="53">
                  <c:v>39503.0</c:v>
                </c:pt>
                <c:pt idx="54">
                  <c:v>39510.0</c:v>
                </c:pt>
                <c:pt idx="55">
                  <c:v>39517.0</c:v>
                </c:pt>
                <c:pt idx="56">
                  <c:v>39531.0</c:v>
                </c:pt>
                <c:pt idx="57">
                  <c:v>39538.0</c:v>
                </c:pt>
                <c:pt idx="58">
                  <c:v>39549.0</c:v>
                </c:pt>
                <c:pt idx="59">
                  <c:v>39556.0</c:v>
                </c:pt>
                <c:pt idx="60">
                  <c:v>39571.0</c:v>
                </c:pt>
                <c:pt idx="61">
                  <c:v>39585.0</c:v>
                </c:pt>
                <c:pt idx="62">
                  <c:v>39592.0</c:v>
                </c:pt>
                <c:pt idx="63">
                  <c:v>39599.0</c:v>
                </c:pt>
                <c:pt idx="64">
                  <c:v>39606.0</c:v>
                </c:pt>
                <c:pt idx="65">
                  <c:v>39620.0</c:v>
                </c:pt>
                <c:pt idx="66">
                  <c:v>39639.0</c:v>
                </c:pt>
                <c:pt idx="67">
                  <c:v>39646.0</c:v>
                </c:pt>
                <c:pt idx="68">
                  <c:v>39653.0</c:v>
                </c:pt>
                <c:pt idx="69">
                  <c:v>39660.0</c:v>
                </c:pt>
                <c:pt idx="70">
                  <c:v>39667.0</c:v>
                </c:pt>
                <c:pt idx="71">
                  <c:v>39674.0</c:v>
                </c:pt>
                <c:pt idx="72">
                  <c:v>39681.0</c:v>
                </c:pt>
                <c:pt idx="73">
                  <c:v>39688.0</c:v>
                </c:pt>
                <c:pt idx="74">
                  <c:v>39695.0</c:v>
                </c:pt>
                <c:pt idx="75">
                  <c:v>39702.0</c:v>
                </c:pt>
                <c:pt idx="76">
                  <c:v>39709.0</c:v>
                </c:pt>
                <c:pt idx="77">
                  <c:v>39716.0</c:v>
                </c:pt>
                <c:pt idx="78">
                  <c:v>39723.0</c:v>
                </c:pt>
                <c:pt idx="79">
                  <c:v>39730.0</c:v>
                </c:pt>
                <c:pt idx="80">
                  <c:v>39737.0</c:v>
                </c:pt>
                <c:pt idx="81">
                  <c:v>39744.0</c:v>
                </c:pt>
                <c:pt idx="82">
                  <c:v>39751.0</c:v>
                </c:pt>
                <c:pt idx="83">
                  <c:v>39758.0</c:v>
                </c:pt>
                <c:pt idx="84">
                  <c:v>39765.0</c:v>
                </c:pt>
                <c:pt idx="85">
                  <c:v>39772.0</c:v>
                </c:pt>
                <c:pt idx="86">
                  <c:v>39779.0</c:v>
                </c:pt>
                <c:pt idx="87">
                  <c:v>39786.0</c:v>
                </c:pt>
                <c:pt idx="88">
                  <c:v>39793.0</c:v>
                </c:pt>
                <c:pt idx="89">
                  <c:v>39800.0</c:v>
                </c:pt>
                <c:pt idx="90">
                  <c:v>39807.0</c:v>
                </c:pt>
                <c:pt idx="91">
                  <c:v>39814.0</c:v>
                </c:pt>
                <c:pt idx="92">
                  <c:v>39821.0</c:v>
                </c:pt>
                <c:pt idx="93">
                  <c:v>39828.0</c:v>
                </c:pt>
                <c:pt idx="94">
                  <c:v>39835.0</c:v>
                </c:pt>
                <c:pt idx="95">
                  <c:v>39842.0</c:v>
                </c:pt>
                <c:pt idx="96">
                  <c:v>39849.0</c:v>
                </c:pt>
                <c:pt idx="97">
                  <c:v>39856.0</c:v>
                </c:pt>
                <c:pt idx="98">
                  <c:v>39863.0</c:v>
                </c:pt>
                <c:pt idx="99">
                  <c:v>39870.0</c:v>
                </c:pt>
                <c:pt idx="100">
                  <c:v>39877.0</c:v>
                </c:pt>
                <c:pt idx="101">
                  <c:v>39884.0</c:v>
                </c:pt>
                <c:pt idx="102">
                  <c:v>39891.0</c:v>
                </c:pt>
                <c:pt idx="103">
                  <c:v>39898.0</c:v>
                </c:pt>
                <c:pt idx="104">
                  <c:v>39905.0</c:v>
                </c:pt>
                <c:pt idx="105">
                  <c:v>39912.0</c:v>
                </c:pt>
                <c:pt idx="106">
                  <c:v>39919.0</c:v>
                </c:pt>
                <c:pt idx="107">
                  <c:v>39926.0</c:v>
                </c:pt>
                <c:pt idx="108">
                  <c:v>39933.0</c:v>
                </c:pt>
                <c:pt idx="109">
                  <c:v>39940.0</c:v>
                </c:pt>
                <c:pt idx="110">
                  <c:v>39947.0</c:v>
                </c:pt>
                <c:pt idx="111">
                  <c:v>39954.0</c:v>
                </c:pt>
                <c:pt idx="112">
                  <c:v>39961.0</c:v>
                </c:pt>
                <c:pt idx="113">
                  <c:v>39968.0</c:v>
                </c:pt>
                <c:pt idx="114">
                  <c:v>39975.0</c:v>
                </c:pt>
                <c:pt idx="115">
                  <c:v>39982.0</c:v>
                </c:pt>
                <c:pt idx="116">
                  <c:v>39989.0</c:v>
                </c:pt>
                <c:pt idx="117">
                  <c:v>39996.0</c:v>
                </c:pt>
                <c:pt idx="118">
                  <c:v>40003.0</c:v>
                </c:pt>
                <c:pt idx="119">
                  <c:v>40010.0</c:v>
                </c:pt>
                <c:pt idx="120">
                  <c:v>40017.0</c:v>
                </c:pt>
                <c:pt idx="121">
                  <c:v>40024.0</c:v>
                </c:pt>
                <c:pt idx="122">
                  <c:v>40031.0</c:v>
                </c:pt>
                <c:pt idx="123">
                  <c:v>40038.0</c:v>
                </c:pt>
                <c:pt idx="124">
                  <c:v>40045.0</c:v>
                </c:pt>
                <c:pt idx="125">
                  <c:v>40052.0</c:v>
                </c:pt>
                <c:pt idx="126">
                  <c:v>40059.0</c:v>
                </c:pt>
                <c:pt idx="127">
                  <c:v>40066.0</c:v>
                </c:pt>
                <c:pt idx="128">
                  <c:v>40073.0</c:v>
                </c:pt>
                <c:pt idx="129">
                  <c:v>40080.0</c:v>
                </c:pt>
                <c:pt idx="130">
                  <c:v>40087.0</c:v>
                </c:pt>
                <c:pt idx="131">
                  <c:v>40094.0</c:v>
                </c:pt>
                <c:pt idx="132">
                  <c:v>40101.0</c:v>
                </c:pt>
                <c:pt idx="133">
                  <c:v>40108.0</c:v>
                </c:pt>
                <c:pt idx="134">
                  <c:v>40115.0</c:v>
                </c:pt>
                <c:pt idx="135">
                  <c:v>40122.0</c:v>
                </c:pt>
                <c:pt idx="136">
                  <c:v>40129.0</c:v>
                </c:pt>
                <c:pt idx="137">
                  <c:v>40136.0</c:v>
                </c:pt>
                <c:pt idx="138">
                  <c:v>40143.0</c:v>
                </c:pt>
                <c:pt idx="139">
                  <c:v>40150.0</c:v>
                </c:pt>
                <c:pt idx="140">
                  <c:v>40157.0</c:v>
                </c:pt>
                <c:pt idx="141">
                  <c:v>40164.0</c:v>
                </c:pt>
                <c:pt idx="142">
                  <c:v>40171.0</c:v>
                </c:pt>
                <c:pt idx="143">
                  <c:v>40178.0</c:v>
                </c:pt>
                <c:pt idx="144">
                  <c:v>40185.0</c:v>
                </c:pt>
                <c:pt idx="145">
                  <c:v>40192.0</c:v>
                </c:pt>
                <c:pt idx="146">
                  <c:v>40199.0</c:v>
                </c:pt>
                <c:pt idx="147">
                  <c:v>40206.0</c:v>
                </c:pt>
                <c:pt idx="148">
                  <c:v>40213.0</c:v>
                </c:pt>
                <c:pt idx="149">
                  <c:v>40220.0</c:v>
                </c:pt>
                <c:pt idx="150">
                  <c:v>40227.0</c:v>
                </c:pt>
                <c:pt idx="151">
                  <c:v>40234.0</c:v>
                </c:pt>
                <c:pt idx="152">
                  <c:v>40241.0</c:v>
                </c:pt>
                <c:pt idx="153">
                  <c:v>40248.0</c:v>
                </c:pt>
                <c:pt idx="154">
                  <c:v>40255.0</c:v>
                </c:pt>
                <c:pt idx="155">
                  <c:v>40262.0</c:v>
                </c:pt>
                <c:pt idx="156">
                  <c:v>40269.0</c:v>
                </c:pt>
                <c:pt idx="157">
                  <c:v>40276.0</c:v>
                </c:pt>
                <c:pt idx="158">
                  <c:v>40283.0</c:v>
                </c:pt>
                <c:pt idx="159">
                  <c:v>40290.0</c:v>
                </c:pt>
                <c:pt idx="160">
                  <c:v>40297.0</c:v>
                </c:pt>
                <c:pt idx="161">
                  <c:v>40304.0</c:v>
                </c:pt>
                <c:pt idx="162">
                  <c:v>40311.0</c:v>
                </c:pt>
                <c:pt idx="163">
                  <c:v>40318.0</c:v>
                </c:pt>
                <c:pt idx="164">
                  <c:v>40325.0</c:v>
                </c:pt>
                <c:pt idx="165">
                  <c:v>40332.0</c:v>
                </c:pt>
                <c:pt idx="166">
                  <c:v>40339.0</c:v>
                </c:pt>
                <c:pt idx="167">
                  <c:v>40346.0</c:v>
                </c:pt>
                <c:pt idx="168">
                  <c:v>40353.0</c:v>
                </c:pt>
                <c:pt idx="169">
                  <c:v>40360.0</c:v>
                </c:pt>
                <c:pt idx="170">
                  <c:v>40367.0</c:v>
                </c:pt>
                <c:pt idx="171">
                  <c:v>40374.0</c:v>
                </c:pt>
                <c:pt idx="172">
                  <c:v>40381.0</c:v>
                </c:pt>
                <c:pt idx="173">
                  <c:v>40388.0</c:v>
                </c:pt>
                <c:pt idx="174">
                  <c:v>40395.0</c:v>
                </c:pt>
                <c:pt idx="175">
                  <c:v>40402.0</c:v>
                </c:pt>
                <c:pt idx="176">
                  <c:v>40409.0</c:v>
                </c:pt>
                <c:pt idx="177">
                  <c:v>40416.0</c:v>
                </c:pt>
                <c:pt idx="178">
                  <c:v>40423.0</c:v>
                </c:pt>
                <c:pt idx="179">
                  <c:v>40430.0</c:v>
                </c:pt>
                <c:pt idx="180">
                  <c:v>40437.0</c:v>
                </c:pt>
                <c:pt idx="181">
                  <c:v>40444.0</c:v>
                </c:pt>
                <c:pt idx="182">
                  <c:v>40451.0</c:v>
                </c:pt>
                <c:pt idx="183">
                  <c:v>40458.0</c:v>
                </c:pt>
                <c:pt idx="184">
                  <c:v>40465.0</c:v>
                </c:pt>
                <c:pt idx="185">
                  <c:v>40472.0</c:v>
                </c:pt>
                <c:pt idx="186">
                  <c:v>40479.0</c:v>
                </c:pt>
                <c:pt idx="187">
                  <c:v>40486.0</c:v>
                </c:pt>
                <c:pt idx="188">
                  <c:v>40493.0</c:v>
                </c:pt>
                <c:pt idx="189">
                  <c:v>40500.0</c:v>
                </c:pt>
                <c:pt idx="190">
                  <c:v>40507.0</c:v>
                </c:pt>
                <c:pt idx="191">
                  <c:v>40514.0</c:v>
                </c:pt>
                <c:pt idx="192">
                  <c:v>40521.0</c:v>
                </c:pt>
                <c:pt idx="193">
                  <c:v>40528.0</c:v>
                </c:pt>
                <c:pt idx="194">
                  <c:v>40535.0</c:v>
                </c:pt>
                <c:pt idx="195">
                  <c:v>40542.0</c:v>
                </c:pt>
                <c:pt idx="196">
                  <c:v>40549.0</c:v>
                </c:pt>
                <c:pt idx="197">
                  <c:v>40556.0</c:v>
                </c:pt>
                <c:pt idx="198">
                  <c:v>40563.0</c:v>
                </c:pt>
                <c:pt idx="199">
                  <c:v>40570.0</c:v>
                </c:pt>
                <c:pt idx="200">
                  <c:v>40577.0</c:v>
                </c:pt>
                <c:pt idx="201">
                  <c:v>40584.0</c:v>
                </c:pt>
                <c:pt idx="202">
                  <c:v>40591.0</c:v>
                </c:pt>
                <c:pt idx="203">
                  <c:v>40598.0</c:v>
                </c:pt>
                <c:pt idx="204">
                  <c:v>40605.0</c:v>
                </c:pt>
                <c:pt idx="205">
                  <c:v>40612.0</c:v>
                </c:pt>
                <c:pt idx="206">
                  <c:v>40619.0</c:v>
                </c:pt>
                <c:pt idx="207">
                  <c:v>40626.0</c:v>
                </c:pt>
                <c:pt idx="208">
                  <c:v>40633.0</c:v>
                </c:pt>
                <c:pt idx="209">
                  <c:v>40640.0</c:v>
                </c:pt>
                <c:pt idx="210">
                  <c:v>40647.0</c:v>
                </c:pt>
                <c:pt idx="211">
                  <c:v>40654.0</c:v>
                </c:pt>
                <c:pt idx="212">
                  <c:v>40661.0</c:v>
                </c:pt>
                <c:pt idx="213">
                  <c:v>40668.0</c:v>
                </c:pt>
                <c:pt idx="214">
                  <c:v>40675.0</c:v>
                </c:pt>
                <c:pt idx="215">
                  <c:v>40682.0</c:v>
                </c:pt>
                <c:pt idx="216">
                  <c:v>40689.0</c:v>
                </c:pt>
                <c:pt idx="217">
                  <c:v>40696.0</c:v>
                </c:pt>
                <c:pt idx="218">
                  <c:v>40703.0</c:v>
                </c:pt>
                <c:pt idx="219">
                  <c:v>40710.0</c:v>
                </c:pt>
                <c:pt idx="220">
                  <c:v>40717.0</c:v>
                </c:pt>
                <c:pt idx="221">
                  <c:v>40724.0</c:v>
                </c:pt>
                <c:pt idx="222">
                  <c:v>40731.0</c:v>
                </c:pt>
                <c:pt idx="223">
                  <c:v>40738.0</c:v>
                </c:pt>
                <c:pt idx="224">
                  <c:v>40745.0</c:v>
                </c:pt>
                <c:pt idx="225">
                  <c:v>40752.0</c:v>
                </c:pt>
                <c:pt idx="226">
                  <c:v>40759.0</c:v>
                </c:pt>
                <c:pt idx="227">
                  <c:v>40766.0</c:v>
                </c:pt>
                <c:pt idx="228">
                  <c:v>40773.0</c:v>
                </c:pt>
                <c:pt idx="229">
                  <c:v>40780.0</c:v>
                </c:pt>
                <c:pt idx="230">
                  <c:v>40787.0</c:v>
                </c:pt>
                <c:pt idx="231">
                  <c:v>40794.0</c:v>
                </c:pt>
                <c:pt idx="232">
                  <c:v>40801.0</c:v>
                </c:pt>
                <c:pt idx="233">
                  <c:v>40808.0</c:v>
                </c:pt>
                <c:pt idx="234">
                  <c:v>40815.0</c:v>
                </c:pt>
                <c:pt idx="235">
                  <c:v>40822.0</c:v>
                </c:pt>
                <c:pt idx="236">
                  <c:v>40829.0</c:v>
                </c:pt>
                <c:pt idx="237">
                  <c:v>40836.0</c:v>
                </c:pt>
                <c:pt idx="238">
                  <c:v>40843.0</c:v>
                </c:pt>
                <c:pt idx="239">
                  <c:v>40850.0</c:v>
                </c:pt>
                <c:pt idx="240">
                  <c:v>40857.0</c:v>
                </c:pt>
                <c:pt idx="241">
                  <c:v>40864.0</c:v>
                </c:pt>
                <c:pt idx="242">
                  <c:v>40871.0</c:v>
                </c:pt>
                <c:pt idx="243">
                  <c:v>40878.0</c:v>
                </c:pt>
                <c:pt idx="244">
                  <c:v>40885.0</c:v>
                </c:pt>
                <c:pt idx="245">
                  <c:v>40892.0</c:v>
                </c:pt>
                <c:pt idx="246">
                  <c:v>40899.0</c:v>
                </c:pt>
                <c:pt idx="247">
                  <c:v>40906.0</c:v>
                </c:pt>
                <c:pt idx="248">
                  <c:v>40913.0</c:v>
                </c:pt>
                <c:pt idx="249">
                  <c:v>40920.0</c:v>
                </c:pt>
              </c:numCache>
            </c:numRef>
          </c:cat>
          <c:val>
            <c:numRef>
              <c:f>Data!$N$195:$N$444</c:f>
              <c:numCache>
                <c:formatCode>0.00%</c:formatCode>
                <c:ptCount val="250"/>
                <c:pt idx="0">
                  <c:v>0.5152029932909</c:v>
                </c:pt>
                <c:pt idx="1">
                  <c:v>0.538287029072768</c:v>
                </c:pt>
                <c:pt idx="2">
                  <c:v>0.538007483227249</c:v>
                </c:pt>
                <c:pt idx="3">
                  <c:v>0.528932995011182</c:v>
                </c:pt>
                <c:pt idx="4">
                  <c:v>0.557210132461724</c:v>
                </c:pt>
                <c:pt idx="5">
                  <c:v>0.546103560984001</c:v>
                </c:pt>
                <c:pt idx="6">
                  <c:v>0.564951402029933</c:v>
                </c:pt>
                <c:pt idx="7">
                  <c:v>0.560123860313091</c:v>
                </c:pt>
                <c:pt idx="8">
                  <c:v>0.491387837605367</c:v>
                </c:pt>
                <c:pt idx="9">
                  <c:v>0.50825735420609</c:v>
                </c:pt>
                <c:pt idx="10">
                  <c:v>0.49121580939274</c:v>
                </c:pt>
                <c:pt idx="11">
                  <c:v>0.544071477722346</c:v>
                </c:pt>
                <c:pt idx="12">
                  <c:v>0.52764278341648</c:v>
                </c:pt>
                <c:pt idx="13">
                  <c:v>0.552307328401858</c:v>
                </c:pt>
                <c:pt idx="14">
                  <c:v>0.562059177705144</c:v>
                </c:pt>
                <c:pt idx="15">
                  <c:v>0.595916480302769</c:v>
                </c:pt>
                <c:pt idx="16">
                  <c:v>0.60638869774643</c:v>
                </c:pt>
                <c:pt idx="17">
                  <c:v>0.618753225528987</c:v>
                </c:pt>
                <c:pt idx="18">
                  <c:v>0.618957509031481</c:v>
                </c:pt>
                <c:pt idx="19">
                  <c:v>0.637224754859797</c:v>
                </c:pt>
                <c:pt idx="20">
                  <c:v>0.629483485291588</c:v>
                </c:pt>
                <c:pt idx="21">
                  <c:v>0.651771890590057</c:v>
                </c:pt>
                <c:pt idx="22">
                  <c:v>0.620978840529847</c:v>
                </c:pt>
                <c:pt idx="23">
                  <c:v>0.648137794598314</c:v>
                </c:pt>
                <c:pt idx="24">
                  <c:v>0.615516944778944</c:v>
                </c:pt>
                <c:pt idx="25">
                  <c:v>0.617774815069671</c:v>
                </c:pt>
                <c:pt idx="26">
                  <c:v>0.645482109065887</c:v>
                </c:pt>
                <c:pt idx="27">
                  <c:v>0.669211250645106</c:v>
                </c:pt>
                <c:pt idx="28">
                  <c:v>0.649384999139859</c:v>
                </c:pt>
                <c:pt idx="29">
                  <c:v>0.568607001548254</c:v>
                </c:pt>
                <c:pt idx="30">
                  <c:v>0.540770686392568</c:v>
                </c:pt>
                <c:pt idx="31">
                  <c:v>0.562682779975916</c:v>
                </c:pt>
                <c:pt idx="32">
                  <c:v>0.55464046103561</c:v>
                </c:pt>
                <c:pt idx="33">
                  <c:v>0.590572853948047</c:v>
                </c:pt>
                <c:pt idx="34">
                  <c:v>0.584766901771891</c:v>
                </c:pt>
                <c:pt idx="35">
                  <c:v>0.562768794082229</c:v>
                </c:pt>
                <c:pt idx="36">
                  <c:v>0.595819714433167</c:v>
                </c:pt>
                <c:pt idx="37">
                  <c:v>0.640450283846551</c:v>
                </c:pt>
                <c:pt idx="38">
                  <c:v>0.642106055393084</c:v>
                </c:pt>
                <c:pt idx="39">
                  <c:v>0.673522707724067</c:v>
                </c:pt>
                <c:pt idx="40">
                  <c:v>0.679694219852056</c:v>
                </c:pt>
                <c:pt idx="41">
                  <c:v>0.610388353690005</c:v>
                </c:pt>
                <c:pt idx="42">
                  <c:v>0.652460003440564</c:v>
                </c:pt>
                <c:pt idx="43">
                  <c:v>0.618796232582143</c:v>
                </c:pt>
                <c:pt idx="44">
                  <c:v>0.54101797694822</c:v>
                </c:pt>
                <c:pt idx="45">
                  <c:v>0.592486667813521</c:v>
                </c:pt>
                <c:pt idx="46">
                  <c:v>0.596056253225529</c:v>
                </c:pt>
                <c:pt idx="47">
                  <c:v>0.517751161190435</c:v>
                </c:pt>
                <c:pt idx="48">
                  <c:v>0.506343540340616</c:v>
                </c:pt>
                <c:pt idx="49">
                  <c:v>0.433210046447617</c:v>
                </c:pt>
                <c:pt idx="50">
                  <c:v>0.500322552898675</c:v>
                </c:pt>
                <c:pt idx="51">
                  <c:v>0.431059693789781</c:v>
                </c:pt>
                <c:pt idx="52">
                  <c:v>0.451488044039222</c:v>
                </c:pt>
                <c:pt idx="53">
                  <c:v>0.475141923275417</c:v>
                </c:pt>
                <c:pt idx="54">
                  <c:v>0.368699466712541</c:v>
                </c:pt>
                <c:pt idx="55">
                  <c:v>0.373000172028213</c:v>
                </c:pt>
                <c:pt idx="56">
                  <c:v>0.451488044039222</c:v>
                </c:pt>
                <c:pt idx="57">
                  <c:v>0.422458283158438</c:v>
                </c:pt>
                <c:pt idx="58">
                  <c:v>0.433210046447617</c:v>
                </c:pt>
                <c:pt idx="59">
                  <c:v>0.49449509719594</c:v>
                </c:pt>
                <c:pt idx="60">
                  <c:v>0.520299329089971</c:v>
                </c:pt>
                <c:pt idx="61">
                  <c:v>0.532126268708068</c:v>
                </c:pt>
                <c:pt idx="62">
                  <c:v>0.479442628591089</c:v>
                </c:pt>
                <c:pt idx="63">
                  <c:v>0.505246860485119</c:v>
                </c:pt>
                <c:pt idx="64">
                  <c:v>0.462239807328402</c:v>
                </c:pt>
                <c:pt idx="65">
                  <c:v>0.417082401513848</c:v>
                </c:pt>
                <c:pt idx="66">
                  <c:v>0.332143471529331</c:v>
                </c:pt>
                <c:pt idx="67">
                  <c:v>0.355066230861861</c:v>
                </c:pt>
                <c:pt idx="68">
                  <c:v>0.34670135902288</c:v>
                </c:pt>
                <c:pt idx="69">
                  <c:v>0.362656975744022</c:v>
                </c:pt>
                <c:pt idx="70">
                  <c:v>0.361248494753139</c:v>
                </c:pt>
                <c:pt idx="71">
                  <c:v>0.390127730947875</c:v>
                </c:pt>
                <c:pt idx="72">
                  <c:v>0.389342852227765</c:v>
                </c:pt>
                <c:pt idx="73">
                  <c:v>0.379268450025804</c:v>
                </c:pt>
                <c:pt idx="74">
                  <c:v>0.335702305178049</c:v>
                </c:pt>
                <c:pt idx="75">
                  <c:v>0.345798210906589</c:v>
                </c:pt>
                <c:pt idx="76">
                  <c:v>0.349432306898331</c:v>
                </c:pt>
                <c:pt idx="77">
                  <c:v>0.304479184586272</c:v>
                </c:pt>
                <c:pt idx="78">
                  <c:v>0.18186607603647</c:v>
                </c:pt>
                <c:pt idx="79">
                  <c:v>-0.0331799415104077</c:v>
                </c:pt>
                <c:pt idx="80">
                  <c:v>0.0112570961637708</c:v>
                </c:pt>
                <c:pt idx="81">
                  <c:v>-0.0573176500946155</c:v>
                </c:pt>
                <c:pt idx="82">
                  <c:v>0.0415770686392567</c:v>
                </c:pt>
                <c:pt idx="83">
                  <c:v>0.000978410459315348</c:v>
                </c:pt>
                <c:pt idx="84">
                  <c:v>-0.0610592637192501</c:v>
                </c:pt>
                <c:pt idx="85">
                  <c:v>-0.139826681575778</c:v>
                </c:pt>
                <c:pt idx="86">
                  <c:v>-0.0363839669705832</c:v>
                </c:pt>
                <c:pt idx="87">
                  <c:v>-0.058070273524858</c:v>
                </c:pt>
                <c:pt idx="88">
                  <c:v>-0.0541351281610184</c:v>
                </c:pt>
                <c:pt idx="89">
                  <c:v>-0.0453724410803372</c:v>
                </c:pt>
                <c:pt idx="90">
                  <c:v>-0.0615861001204199</c:v>
                </c:pt>
                <c:pt idx="91">
                  <c:v>0.00184930328573873</c:v>
                </c:pt>
                <c:pt idx="92">
                  <c:v>-0.0427167555479099</c:v>
                </c:pt>
                <c:pt idx="93">
                  <c:v>-0.0859710992602787</c:v>
                </c:pt>
                <c:pt idx="94">
                  <c:v>-0.105507053156718</c:v>
                </c:pt>
                <c:pt idx="95">
                  <c:v>-0.11203337347325</c:v>
                </c:pt>
                <c:pt idx="96">
                  <c:v>-0.0661018407018751</c:v>
                </c:pt>
                <c:pt idx="97">
                  <c:v>-0.111001204197488</c:v>
                </c:pt>
                <c:pt idx="98">
                  <c:v>-0.172060467916738</c:v>
                </c:pt>
                <c:pt idx="99">
                  <c:v>-0.20964863237571</c:v>
                </c:pt>
                <c:pt idx="100">
                  <c:v>-0.265246000344056</c:v>
                </c:pt>
                <c:pt idx="101">
                  <c:v>-0.186575563392396</c:v>
                </c:pt>
                <c:pt idx="102">
                  <c:v>-0.17368419920867</c:v>
                </c:pt>
                <c:pt idx="103">
                  <c:v>-0.122720733700327</c:v>
                </c:pt>
                <c:pt idx="104">
                  <c:v>-0.0941639428866334</c:v>
                </c:pt>
                <c:pt idx="105">
                  <c:v>-0.0790471787373129</c:v>
                </c:pt>
                <c:pt idx="106">
                  <c:v>-0.06502677189059</c:v>
                </c:pt>
                <c:pt idx="107">
                  <c:v>-0.0686500086014107</c:v>
                </c:pt>
                <c:pt idx="108">
                  <c:v>-0.0565114828831928</c:v>
                </c:pt>
                <c:pt idx="109">
                  <c:v>-0.000913899879580237</c:v>
                </c:pt>
                <c:pt idx="110">
                  <c:v>-0.0507484302425598</c:v>
                </c:pt>
                <c:pt idx="111">
                  <c:v>-0.046318596249785</c:v>
                </c:pt>
                <c:pt idx="112">
                  <c:v>-0.0117625365559952</c:v>
                </c:pt>
                <c:pt idx="113">
                  <c:v>0.0107623000172028</c:v>
                </c:pt>
                <c:pt idx="114">
                  <c:v>0.0173425941854464</c:v>
                </c:pt>
                <c:pt idx="115">
                  <c:v>-0.0095153105109238</c:v>
                </c:pt>
                <c:pt idx="116">
                  <c:v>-0.0120205788749356</c:v>
                </c:pt>
                <c:pt idx="117">
                  <c:v>-0.0361905427490109</c:v>
                </c:pt>
                <c:pt idx="118">
                  <c:v>-0.0547803414760021</c:v>
                </c:pt>
                <c:pt idx="119">
                  <c:v>0.0110742086702218</c:v>
                </c:pt>
                <c:pt idx="120">
                  <c:v>0.0528769568209186</c:v>
                </c:pt>
                <c:pt idx="121">
                  <c:v>0.0617151212798899</c:v>
                </c:pt>
                <c:pt idx="122">
                  <c:v>0.0864441768450026</c:v>
                </c:pt>
                <c:pt idx="123">
                  <c:v>0.0795735850679511</c:v>
                </c:pt>
                <c:pt idx="124">
                  <c:v>0.103270578874935</c:v>
                </c:pt>
                <c:pt idx="125">
                  <c:v>0.106281072595906</c:v>
                </c:pt>
                <c:pt idx="126">
                  <c:v>0.0928091131945638</c:v>
                </c:pt>
                <c:pt idx="127">
                  <c:v>0.121118613452606</c:v>
                </c:pt>
                <c:pt idx="128">
                  <c:v>0.148610657147772</c:v>
                </c:pt>
                <c:pt idx="129">
                  <c:v>0.122892546877688</c:v>
                </c:pt>
                <c:pt idx="130">
                  <c:v>0.102281524169964</c:v>
                </c:pt>
                <c:pt idx="131">
                  <c:v>0.152040684672286</c:v>
                </c:pt>
                <c:pt idx="132">
                  <c:v>0.169447681919835</c:v>
                </c:pt>
                <c:pt idx="133">
                  <c:v>0.160760257182178</c:v>
                </c:pt>
                <c:pt idx="134">
                  <c:v>0.11408685274385</c:v>
                </c:pt>
                <c:pt idx="135">
                  <c:v>0.14968583347669</c:v>
                </c:pt>
                <c:pt idx="136">
                  <c:v>0.175683812145192</c:v>
                </c:pt>
                <c:pt idx="137">
                  <c:v>0.173425834336831</c:v>
                </c:pt>
                <c:pt idx="138">
                  <c:v>0.173544211250645</c:v>
                </c:pt>
                <c:pt idx="139">
                  <c:v>0.189123516256666</c:v>
                </c:pt>
                <c:pt idx="140">
                  <c:v>0.189585734560468</c:v>
                </c:pt>
                <c:pt idx="141">
                  <c:v>0.185349647342164</c:v>
                </c:pt>
                <c:pt idx="142">
                  <c:v>0.211164630999484</c:v>
                </c:pt>
                <c:pt idx="143">
                  <c:v>0.198929016858765</c:v>
                </c:pt>
                <c:pt idx="144">
                  <c:v>0.231055393084466</c:v>
                </c:pt>
                <c:pt idx="145">
                  <c:v>0.221432349905385</c:v>
                </c:pt>
                <c:pt idx="146">
                  <c:v>0.173834293824187</c:v>
                </c:pt>
                <c:pt idx="147">
                  <c:v>0.154599496817478</c:v>
                </c:pt>
                <c:pt idx="148">
                  <c:v>0.146342142611388</c:v>
                </c:pt>
                <c:pt idx="149">
                  <c:v>0.156362678479271</c:v>
                </c:pt>
                <c:pt idx="150">
                  <c:v>0.192553221228281</c:v>
                </c:pt>
                <c:pt idx="151">
                  <c:v>0.187521503526578</c:v>
                </c:pt>
                <c:pt idx="152">
                  <c:v>0.224303285738861</c:v>
                </c:pt>
                <c:pt idx="153">
                  <c:v>0.236442026492345</c:v>
                </c:pt>
                <c:pt idx="154">
                  <c:v>0.247097023911922</c:v>
                </c:pt>
                <c:pt idx="155">
                  <c:v>0.254289953552382</c:v>
                </c:pt>
                <c:pt idx="156">
                  <c:v>0.266665233098228</c:v>
                </c:pt>
                <c:pt idx="157">
                  <c:v>0.284158351969723</c:v>
                </c:pt>
                <c:pt idx="158">
                  <c:v>0.281749956992947</c:v>
                </c:pt>
                <c:pt idx="159">
                  <c:v>0.308790641665233</c:v>
                </c:pt>
                <c:pt idx="160">
                  <c:v>0.275900997763633</c:v>
                </c:pt>
                <c:pt idx="161">
                  <c:v>0.194391880268364</c:v>
                </c:pt>
                <c:pt idx="162">
                  <c:v>0.221056253225529</c:v>
                </c:pt>
                <c:pt idx="163">
                  <c:v>0.169458541200757</c:v>
                </c:pt>
                <c:pt idx="164">
                  <c:v>0.171307844486496</c:v>
                </c:pt>
                <c:pt idx="165">
                  <c:v>0.144933769138139</c:v>
                </c:pt>
                <c:pt idx="166">
                  <c:v>0.173662480646826</c:v>
                </c:pt>
                <c:pt idx="167">
                  <c:v>0.20152029932909</c:v>
                </c:pt>
                <c:pt idx="168">
                  <c:v>0.157706863925684</c:v>
                </c:pt>
                <c:pt idx="169">
                  <c:v>0.0994538104249096</c:v>
                </c:pt>
                <c:pt idx="170">
                  <c:v>0.158997075520385</c:v>
                </c:pt>
                <c:pt idx="171">
                  <c:v>0.144933769138139</c:v>
                </c:pt>
                <c:pt idx="172">
                  <c:v>0.185553930844659</c:v>
                </c:pt>
                <c:pt idx="173">
                  <c:v>0.184414243936005</c:v>
                </c:pt>
                <c:pt idx="174">
                  <c:v>0.205960777567521</c:v>
                </c:pt>
                <c:pt idx="175">
                  <c:v>0.160384052984689</c:v>
                </c:pt>
                <c:pt idx="176">
                  <c:v>0.15225571993807</c:v>
                </c:pt>
                <c:pt idx="177">
                  <c:v>0.144621968002752</c:v>
                </c:pt>
                <c:pt idx="178">
                  <c:v>0.187543007053157</c:v>
                </c:pt>
                <c:pt idx="179">
                  <c:v>0.192961895750903</c:v>
                </c:pt>
                <c:pt idx="180">
                  <c:v>0.210207724066747</c:v>
                </c:pt>
                <c:pt idx="181">
                  <c:v>0.235022793738173</c:v>
                </c:pt>
                <c:pt idx="182">
                  <c:v>0.232410115258902</c:v>
                </c:pt>
                <c:pt idx="183">
                  <c:v>0.252741699638741</c:v>
                </c:pt>
                <c:pt idx="184">
                  <c:v>0.264611646309995</c:v>
                </c:pt>
                <c:pt idx="185">
                  <c:v>0.272019611216239</c:v>
                </c:pt>
                <c:pt idx="186">
                  <c:v>0.272213142955445</c:v>
                </c:pt>
                <c:pt idx="187">
                  <c:v>0.31800490280406</c:v>
                </c:pt>
                <c:pt idx="188">
                  <c:v>0.289362205401686</c:v>
                </c:pt>
                <c:pt idx="189">
                  <c:v>0.289921297092723</c:v>
                </c:pt>
                <c:pt idx="190">
                  <c:v>0.278814725615001</c:v>
                </c:pt>
                <c:pt idx="191">
                  <c:v>0.316779201789093</c:v>
                </c:pt>
                <c:pt idx="192">
                  <c:v>0.333648718389816</c:v>
                </c:pt>
                <c:pt idx="193">
                  <c:v>0.337422587304318</c:v>
                </c:pt>
                <c:pt idx="194">
                  <c:v>0.351249354894203</c:v>
                </c:pt>
                <c:pt idx="195">
                  <c:v>0.352184758300361</c:v>
                </c:pt>
                <c:pt idx="196">
                  <c:v>0.367086702219164</c:v>
                </c:pt>
                <c:pt idx="197">
                  <c:v>0.39046103560984</c:v>
                </c:pt>
                <c:pt idx="198">
                  <c:v>0.379827541716841</c:v>
                </c:pt>
                <c:pt idx="199">
                  <c:v>0.372290555651127</c:v>
                </c:pt>
                <c:pt idx="200">
                  <c:v>0.409416394288663</c:v>
                </c:pt>
                <c:pt idx="201">
                  <c:v>0.429070617581283</c:v>
                </c:pt>
                <c:pt idx="202">
                  <c:v>0.443972561500086</c:v>
                </c:pt>
                <c:pt idx="203">
                  <c:v>0.419103733012214</c:v>
                </c:pt>
                <c:pt idx="204">
                  <c:v>0.42046920694994</c:v>
                </c:pt>
                <c:pt idx="205">
                  <c:v>0.402330982281094</c:v>
                </c:pt>
                <c:pt idx="206">
                  <c:v>0.372688370892826</c:v>
                </c:pt>
                <c:pt idx="207">
                  <c:v>0.407427318080165</c:v>
                </c:pt>
                <c:pt idx="208">
                  <c:v>0.432575692413556</c:v>
                </c:pt>
                <c:pt idx="209">
                  <c:v>0.428016944778944</c:v>
                </c:pt>
                <c:pt idx="210">
                  <c:v>0.413340787889214</c:v>
                </c:pt>
                <c:pt idx="211">
                  <c:v>0.437919318768278</c:v>
                </c:pt>
                <c:pt idx="212">
                  <c:v>0.462755891966282</c:v>
                </c:pt>
                <c:pt idx="213">
                  <c:v>0.435467916738345</c:v>
                </c:pt>
                <c:pt idx="214">
                  <c:v>0.450036555995183</c:v>
                </c:pt>
                <c:pt idx="215">
                  <c:v>0.444606915534147</c:v>
                </c:pt>
                <c:pt idx="216">
                  <c:v>0.431167211422673</c:v>
                </c:pt>
                <c:pt idx="217">
                  <c:v>0.397901255805952</c:v>
                </c:pt>
                <c:pt idx="218">
                  <c:v>0.366527610528126</c:v>
                </c:pt>
                <c:pt idx="219">
                  <c:v>0.367086702219164</c:v>
                </c:pt>
                <c:pt idx="220">
                  <c:v>0.363807414415964</c:v>
                </c:pt>
                <c:pt idx="221">
                  <c:v>0.4403814725615</c:v>
                </c:pt>
                <c:pt idx="222">
                  <c:v>0.444821950799931</c:v>
                </c:pt>
                <c:pt idx="223">
                  <c:v>0.415082573542061</c:v>
                </c:pt>
                <c:pt idx="224">
                  <c:v>0.446133665921211</c:v>
                </c:pt>
                <c:pt idx="225">
                  <c:v>0.389428866334079</c:v>
                </c:pt>
                <c:pt idx="226">
                  <c:v>0.289544985377602</c:v>
                </c:pt>
                <c:pt idx="227">
                  <c:v>0.26742860829176</c:v>
                </c:pt>
                <c:pt idx="228">
                  <c:v>0.207992860829176</c:v>
                </c:pt>
                <c:pt idx="229">
                  <c:v>0.246419662824703</c:v>
                </c:pt>
                <c:pt idx="230">
                  <c:v>0.294963874075348</c:v>
                </c:pt>
                <c:pt idx="231">
                  <c:v>0.241000774126957</c:v>
                </c:pt>
                <c:pt idx="232">
                  <c:v>0.307425167727507</c:v>
                </c:pt>
                <c:pt idx="233">
                  <c:v>0.221862635472218</c:v>
                </c:pt>
                <c:pt idx="234">
                  <c:v>0.216476002064339</c:v>
                </c:pt>
                <c:pt idx="235">
                  <c:v>0.252548167899536</c:v>
                </c:pt>
                <c:pt idx="236">
                  <c:v>0.294146740065371</c:v>
                </c:pt>
                <c:pt idx="237">
                  <c:v>0.306758558403578</c:v>
                </c:pt>
                <c:pt idx="238">
                  <c:v>0.3811607603647</c:v>
                </c:pt>
                <c:pt idx="239">
                  <c:v>0.355958627214863</c:v>
                </c:pt>
                <c:pt idx="240">
                  <c:v>0.358861603302941</c:v>
                </c:pt>
                <c:pt idx="241">
                  <c:v>0.307038104249097</c:v>
                </c:pt>
                <c:pt idx="242">
                  <c:v>0.245774557027352</c:v>
                </c:pt>
                <c:pt idx="243">
                  <c:v>0.337820402546017</c:v>
                </c:pt>
                <c:pt idx="244">
                  <c:v>0.349550576294512</c:v>
                </c:pt>
                <c:pt idx="245">
                  <c:v>0.311349561328058</c:v>
                </c:pt>
                <c:pt idx="246">
                  <c:v>0.36045286426974</c:v>
                </c:pt>
                <c:pt idx="247">
                  <c:v>0.352141751247204</c:v>
                </c:pt>
                <c:pt idx="248">
                  <c:v>0.373871064854636</c:v>
                </c:pt>
                <c:pt idx="249">
                  <c:v>0.392890934113194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C7-4064-930F-2C2ACEB3E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7110000"/>
        <c:axId val="-1727106608"/>
      </c:lineChart>
      <c:dateAx>
        <c:axId val="-172711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727106608"/>
        <c:crosses val="autoZero"/>
        <c:auto val="1"/>
        <c:lblOffset val="100"/>
        <c:baseTimeUnit val="days"/>
      </c:dateAx>
      <c:valAx>
        <c:axId val="-17271066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 Change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727110000"/>
        <c:crosses val="autoZero"/>
        <c:crossBetween val="between"/>
      </c:valAx>
      <c:spPr>
        <a:solidFill>
          <a:srgbClr val="DCE6F2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10714304444155"/>
          <c:y val="0.0698690712979677"/>
          <c:w val="0.180059508374724"/>
          <c:h val="0.04148465922133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rgb="FF000090"/>
  </sheetPr>
  <sheetViews>
    <sheetView zoomScale="97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>
    <tabColor theme="6"/>
  </sheetPr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>
    <tabColor rgb="FFFF6600"/>
  </sheetPr>
  <sheetViews>
    <sheetView zoomScale="78" workbookViewId="0"/>
  </sheetViews>
  <pageMargins left="0.7" right="0.7" top="0.75" bottom="0.75" header="0.3" footer="0.3"/>
  <pageSetup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000090"/>
  </sheetPr>
  <sheetViews>
    <sheetView zoomScale="97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png"/><Relationship Id="rId12" Type="http://schemas.openxmlformats.org/officeDocument/2006/relationships/image" Target="../media/image12.jpeg"/><Relationship Id="rId13" Type="http://schemas.openxmlformats.org/officeDocument/2006/relationships/image" Target="../media/image13.gif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jp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Relationship Id="rId3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66676</xdr:rowOff>
    </xdr:from>
    <xdr:to>
      <xdr:col>9</xdr:col>
      <xdr:colOff>122010</xdr:colOff>
      <xdr:row>8</xdr:row>
      <xdr:rowOff>7364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12" y="114782"/>
          <a:ext cx="3029541" cy="80742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609686</xdr:colOff>
      <xdr:row>33</xdr:row>
      <xdr:rowOff>84819</xdr:rowOff>
    </xdr:to>
    <xdr:pic>
      <xdr:nvPicPr>
        <xdr:cNvPr id="8" name="Picture 7" descr="defaul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3171825"/>
          <a:ext cx="609686" cy="570595"/>
        </a:xfrm>
        <a:prstGeom prst="rect">
          <a:avLst/>
        </a:prstGeom>
      </xdr:spPr>
    </xdr:pic>
    <xdr:clientData/>
  </xdr:twoCellAnchor>
  <xdr:twoCellAnchor editAs="oneCell">
    <xdr:from>
      <xdr:col>2</xdr:col>
      <xdr:colOff>19547</xdr:colOff>
      <xdr:row>44</xdr:row>
      <xdr:rowOff>0</xdr:rowOff>
    </xdr:from>
    <xdr:to>
      <xdr:col>2</xdr:col>
      <xdr:colOff>590140</xdr:colOff>
      <xdr:row>47</xdr:row>
      <xdr:rowOff>84818</xdr:rowOff>
    </xdr:to>
    <xdr:pic>
      <xdr:nvPicPr>
        <xdr:cNvPr id="41" name="Picture 40" descr="default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797" y="6334125"/>
          <a:ext cx="570593" cy="57059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609687</xdr:colOff>
      <xdr:row>47</xdr:row>
      <xdr:rowOff>84818</xdr:rowOff>
    </xdr:to>
    <xdr:pic>
      <xdr:nvPicPr>
        <xdr:cNvPr id="22" name="Picture 21" descr="default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57450" y="6334125"/>
          <a:ext cx="609687" cy="570593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17</xdr:col>
      <xdr:colOff>87</xdr:colOff>
      <xdr:row>20</xdr:row>
      <xdr:rowOff>38186</xdr:rowOff>
    </xdr:to>
    <xdr:pic>
      <xdr:nvPicPr>
        <xdr:cNvPr id="25" name="Picture 24" descr="intc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19650" y="3171825"/>
          <a:ext cx="619211" cy="619211"/>
        </a:xfrm>
        <a:prstGeom prst="rect">
          <a:avLst/>
        </a:prstGeom>
      </xdr:spPr>
    </xdr:pic>
    <xdr:clientData/>
  </xdr:twoCellAnchor>
  <xdr:twoCellAnchor editAs="oneCell">
    <xdr:from>
      <xdr:col>23</xdr:col>
      <xdr:colOff>1</xdr:colOff>
      <xdr:row>16</xdr:row>
      <xdr:rowOff>9623</xdr:rowOff>
    </xdr:from>
    <xdr:to>
      <xdr:col>24</xdr:col>
      <xdr:colOff>0</xdr:colOff>
      <xdr:row>20</xdr:row>
      <xdr:rowOff>38486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7804" y="1616365"/>
          <a:ext cx="615757" cy="615757"/>
        </a:xfrm>
        <a:prstGeom prst="rect">
          <a:avLst/>
        </a:prstGeom>
      </xdr:spPr>
    </xdr:pic>
    <xdr:clientData/>
  </xdr:twoCellAnchor>
  <xdr:oneCellAnchor>
    <xdr:from>
      <xdr:col>30</xdr:col>
      <xdr:colOff>35021</xdr:colOff>
      <xdr:row>16</xdr:row>
      <xdr:rowOff>111605</xdr:rowOff>
    </xdr:from>
    <xdr:ext cx="636467" cy="625859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3321" y="1762605"/>
          <a:ext cx="636467" cy="625859"/>
        </a:xfrm>
        <a:prstGeom prst="rect">
          <a:avLst/>
        </a:prstGeom>
      </xdr:spPr>
    </xdr:pic>
    <xdr:clientData/>
  </xdr:oneCellAnchor>
  <xdr:twoCellAnchor editAs="oneCell">
    <xdr:from>
      <xdr:col>30</xdr:col>
      <xdr:colOff>21555</xdr:colOff>
      <xdr:row>45</xdr:row>
      <xdr:rowOff>72572</xdr:rowOff>
    </xdr:from>
    <xdr:to>
      <xdr:col>31</xdr:col>
      <xdr:colOff>21270</xdr:colOff>
      <xdr:row>46</xdr:row>
      <xdr:rowOff>18142</xdr:rowOff>
    </xdr:to>
    <xdr:pic>
      <xdr:nvPicPr>
        <xdr:cNvPr id="9" name="Picture 8" descr="Delta_logo.svg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4412" y="4916715"/>
          <a:ext cx="707287" cy="10885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17</xdr:col>
      <xdr:colOff>58460</xdr:colOff>
      <xdr:row>46</xdr:row>
      <xdr:rowOff>127000</xdr:rowOff>
    </xdr:to>
    <xdr:pic>
      <xdr:nvPicPr>
        <xdr:cNvPr id="13" name="Picture 12" descr="opk_check-point_logo_horizontal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5857" y="5007429"/>
          <a:ext cx="766032" cy="127000"/>
        </a:xfrm>
        <a:prstGeom prst="rect">
          <a:avLst/>
        </a:prstGeom>
      </xdr:spPr>
    </xdr:pic>
    <xdr:clientData/>
  </xdr:twoCellAnchor>
  <xdr:twoCellAnchor>
    <xdr:from>
      <xdr:col>9</xdr:col>
      <xdr:colOff>616857</xdr:colOff>
      <xdr:row>1</xdr:row>
      <xdr:rowOff>72570</xdr:rowOff>
    </xdr:from>
    <xdr:to>
      <xdr:col>15</xdr:col>
      <xdr:colOff>0</xdr:colOff>
      <xdr:row>9</xdr:row>
      <xdr:rowOff>145142</xdr:rowOff>
    </xdr:to>
    <xdr:sp macro="" textlink="">
      <xdr:nvSpPr>
        <xdr:cNvPr id="14" name="Rectangle 13"/>
        <xdr:cNvSpPr/>
      </xdr:nvSpPr>
      <xdr:spPr bwMode="auto">
        <a:xfrm>
          <a:off x="4082143" y="108856"/>
          <a:ext cx="2485571" cy="1034143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ln>
              <a:solidFill>
                <a:schemeClr val="bg1"/>
              </a:solidFill>
            </a:ln>
          </a:endParaRPr>
        </a:p>
      </xdr:txBody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10</xdr:col>
      <xdr:colOff>31498</xdr:colOff>
      <xdr:row>33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0" y="3365500"/>
          <a:ext cx="745873" cy="317500"/>
        </a:xfrm>
        <a:prstGeom prst="rect">
          <a:avLst/>
        </a:prstGeom>
      </xdr:spPr>
    </xdr:pic>
    <xdr:clientData/>
  </xdr:twoCellAnchor>
  <xdr:twoCellAnchor editAs="oneCell">
    <xdr:from>
      <xdr:col>23</xdr:col>
      <xdr:colOff>114300</xdr:colOff>
      <xdr:row>44</xdr:row>
      <xdr:rowOff>88900</xdr:rowOff>
    </xdr:from>
    <xdr:to>
      <xdr:col>23</xdr:col>
      <xdr:colOff>637014</xdr:colOff>
      <xdr:row>48</xdr:row>
      <xdr:rowOff>25399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5700" y="4838700"/>
          <a:ext cx="522714" cy="520699"/>
        </a:xfrm>
        <a:prstGeom prst="rect">
          <a:avLst/>
        </a:prstGeom>
      </xdr:spPr>
    </xdr:pic>
    <xdr:clientData/>
  </xdr:twoCellAnchor>
  <xdr:twoCellAnchor editAs="oneCell">
    <xdr:from>
      <xdr:col>23</xdr:col>
      <xdr:colOff>12700</xdr:colOff>
      <xdr:row>30</xdr:row>
      <xdr:rowOff>12700</xdr:rowOff>
    </xdr:from>
    <xdr:to>
      <xdr:col>24</xdr:col>
      <xdr:colOff>12700</xdr:colOff>
      <xdr:row>34</xdr:row>
      <xdr:rowOff>139700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3213100"/>
          <a:ext cx="711200" cy="711200"/>
        </a:xfrm>
        <a:prstGeom prst="rect">
          <a:avLst/>
        </a:prstGeom>
      </xdr:spPr>
    </xdr:pic>
    <xdr:clientData/>
  </xdr:twoCellAnchor>
  <xdr:twoCellAnchor editAs="oneCell">
    <xdr:from>
      <xdr:col>9</xdr:col>
      <xdr:colOff>12700</xdr:colOff>
      <xdr:row>16</xdr:row>
      <xdr:rowOff>50800</xdr:rowOff>
    </xdr:from>
    <xdr:to>
      <xdr:col>9</xdr:col>
      <xdr:colOff>685800</xdr:colOff>
      <xdr:row>20</xdr:row>
      <xdr:rowOff>139700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17018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16</xdr:col>
      <xdr:colOff>50800</xdr:colOff>
      <xdr:row>30</xdr:row>
      <xdr:rowOff>50800</xdr:rowOff>
    </xdr:from>
    <xdr:to>
      <xdr:col>16</xdr:col>
      <xdr:colOff>660400</xdr:colOff>
      <xdr:row>34</xdr:row>
      <xdr:rowOff>76200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2100" y="32512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30</xdr:col>
      <xdr:colOff>38100</xdr:colOff>
      <xdr:row>30</xdr:row>
      <xdr:rowOff>152401</xdr:rowOff>
    </xdr:from>
    <xdr:to>
      <xdr:col>30</xdr:col>
      <xdr:colOff>708659</xdr:colOff>
      <xdr:row>32</xdr:row>
      <xdr:rowOff>101601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6400" y="3352801"/>
          <a:ext cx="670559" cy="2794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16</xdr:row>
      <xdr:rowOff>127000</xdr:rowOff>
    </xdr:from>
    <xdr:to>
      <xdr:col>3</xdr:col>
      <xdr:colOff>52516</xdr:colOff>
      <xdr:row>19</xdr:row>
      <xdr:rowOff>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778000"/>
          <a:ext cx="776416" cy="368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32</xdr:row>
      <xdr:rowOff>12700</xdr:rowOff>
    </xdr:from>
    <xdr:to>
      <xdr:col>25</xdr:col>
      <xdr:colOff>241300</xdr:colOff>
      <xdr:row>56</xdr:row>
      <xdr:rowOff>114300</xdr:rowOff>
    </xdr:to>
    <xdr:graphicFrame macro="">
      <xdr:nvGraphicFramePr>
        <xdr:cNvPr id="3841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6641536" cy="10341428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0.04075</cdr:y>
    </cdr:from>
    <cdr:to>
      <cdr:x>0.65548</cdr:x>
      <cdr:y>0.17303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-373959" y="237026"/>
          <a:ext cx="5619071" cy="7694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GICS Sector Weights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434975</xdr:colOff>
      <xdr:row>0</xdr:row>
      <xdr:rowOff>142875</xdr:rowOff>
    </xdr:from>
    <xdr:to>
      <xdr:col>13</xdr:col>
      <xdr:colOff>434975</xdr:colOff>
      <xdr:row>43</xdr:row>
      <xdr:rowOff>44450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18</xdr:col>
      <xdr:colOff>419100</xdr:colOff>
      <xdr:row>42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45</xdr:row>
      <xdr:rowOff>101600</xdr:rowOff>
    </xdr:from>
    <xdr:to>
      <xdr:col>13</xdr:col>
      <xdr:colOff>228600</xdr:colOff>
      <xdr:row>62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584200</xdr:colOff>
      <xdr:row>63</xdr:row>
      <xdr:rowOff>139700</xdr:rowOff>
    </xdr:from>
    <xdr:to>
      <xdr:col>14</xdr:col>
      <xdr:colOff>12700</xdr:colOff>
      <xdr:row>84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85725</xdr:rowOff>
    </xdr:from>
    <xdr:to>
      <xdr:col>21</xdr:col>
      <xdr:colOff>333375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128586</xdr:rowOff>
    </xdr:from>
    <xdr:to>
      <xdr:col>18</xdr:col>
      <xdr:colOff>485775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101600</xdr:rowOff>
    </xdr:from>
    <xdr:to>
      <xdr:col>13</xdr:col>
      <xdr:colOff>12700</xdr:colOff>
      <xdr:row>54</xdr:row>
      <xdr:rowOff>0</xdr:rowOff>
    </xdr:to>
    <xdr:sp macro="" textlink="">
      <xdr:nvSpPr>
        <xdr:cNvPr id="2" name="Rectangle 1"/>
        <xdr:cNvSpPr/>
      </xdr:nvSpPr>
      <xdr:spPr bwMode="auto">
        <a:xfrm>
          <a:off x="215900" y="4305300"/>
          <a:ext cx="8890000" cy="4521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527050</xdr:colOff>
      <xdr:row>26</xdr:row>
      <xdr:rowOff>127000</xdr:rowOff>
    </xdr:from>
    <xdr:to>
      <xdr:col>21</xdr:col>
      <xdr:colOff>304800</xdr:colOff>
      <xdr:row>49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0.01547</cdr:y>
    </cdr:from>
    <cdr:to>
      <cdr:x>0.65548</cdr:x>
      <cdr:y>0.14775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90127"/>
          <a:ext cx="5621248" cy="7707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GICS Sector Weights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0.02189</cdr:y>
    </cdr:from>
    <cdr:to>
      <cdr:x>0.69702</cdr:x>
      <cdr:y>0.15389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-396482" y="127603"/>
          <a:ext cx="5975213" cy="7694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Market Capitalization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3</xdr:row>
      <xdr:rowOff>12700</xdr:rowOff>
    </xdr:from>
    <xdr:to>
      <xdr:col>16</xdr:col>
      <xdr:colOff>254000</xdr:colOff>
      <xdr:row>34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vsu.edu/invest" TargetMode="External"/><Relationship Id="rId2" Type="http://schemas.openxmlformats.org/officeDocument/2006/relationships/hyperlink" Target="mailto:invest@mail.gvsu.edu" TargetMode="External"/><Relationship Id="rId3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gnar99@hotmail.com" TargetMode="External"/><Relationship Id="rId2" Type="http://schemas.openxmlformats.org/officeDocument/2006/relationships/hyperlink" Target="mailto:hoppougk@student.gvsu.edu" TargetMode="External"/><Relationship Id="rId3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money.msn.com/business-news/news.aspx?symbol=TPC" TargetMode="External"/><Relationship Id="rId14" Type="http://schemas.openxmlformats.org/officeDocument/2006/relationships/hyperlink" Target="http://investing.money.msn.com/investments/charts/?symbol=TPC" TargetMode="External"/><Relationship Id="rId15" Type="http://schemas.openxmlformats.org/officeDocument/2006/relationships/hyperlink" Target="http://investing.money.msn.com/investments/stock-price?symbol=TPC" TargetMode="External"/><Relationship Id="rId16" Type="http://schemas.openxmlformats.org/officeDocument/2006/relationships/hyperlink" Target="http://money.msn.com/business-news/news.aspx?symbol=RRC" TargetMode="External"/><Relationship Id="rId17" Type="http://schemas.openxmlformats.org/officeDocument/2006/relationships/hyperlink" Target="http://investing.money.msn.com/investments/charts/?symbol=RRC" TargetMode="External"/><Relationship Id="rId18" Type="http://schemas.openxmlformats.org/officeDocument/2006/relationships/hyperlink" Target="http://investing.money.msn.com/investments/stock-price?symbol=RRC" TargetMode="External"/><Relationship Id="rId19" Type="http://schemas.openxmlformats.org/officeDocument/2006/relationships/hyperlink" Target="http://money.msn.com/business-news/news.aspx?symbol=PSX" TargetMode="External"/><Relationship Id="rId63" Type="http://schemas.openxmlformats.org/officeDocument/2006/relationships/hyperlink" Target="http://investing.money.msn.com/investments/stock-price?symbol=%24COMP" TargetMode="External"/><Relationship Id="rId64" Type="http://schemas.openxmlformats.org/officeDocument/2006/relationships/hyperlink" Target="http://money.msn.com/business-news/news.aspx?symbol=%24INDU" TargetMode="External"/><Relationship Id="rId65" Type="http://schemas.openxmlformats.org/officeDocument/2006/relationships/hyperlink" Target="http://investing.money.msn.com/investments/charts/?symbol=%24INDU" TargetMode="External"/><Relationship Id="rId66" Type="http://schemas.openxmlformats.org/officeDocument/2006/relationships/hyperlink" Target="http://investing.money.msn.com/investments/stock-price?symbol=%24INDU" TargetMode="External"/><Relationship Id="rId67" Type="http://schemas.openxmlformats.org/officeDocument/2006/relationships/hyperlink" Target="http://money.msn.com/" TargetMode="External"/><Relationship Id="rId50" Type="http://schemas.openxmlformats.org/officeDocument/2006/relationships/hyperlink" Target="http://investing.money.msn.com/investments/charts/?symbol=CSCO" TargetMode="External"/><Relationship Id="rId51" Type="http://schemas.openxmlformats.org/officeDocument/2006/relationships/hyperlink" Target="http://investing.money.msn.com/investments/stock-price?symbol=CSCO" TargetMode="External"/><Relationship Id="rId52" Type="http://schemas.openxmlformats.org/officeDocument/2006/relationships/hyperlink" Target="http://money.msn.com/business-news/news.aspx?symbol=BRK%2EB" TargetMode="External"/><Relationship Id="rId53" Type="http://schemas.openxmlformats.org/officeDocument/2006/relationships/hyperlink" Target="http://investing.money.msn.com/investments/charts/?symbol=BRK%2EB" TargetMode="External"/><Relationship Id="rId54" Type="http://schemas.openxmlformats.org/officeDocument/2006/relationships/hyperlink" Target="http://investing.money.msn.com/investments/stock-price?symbol=BRK%2EB" TargetMode="External"/><Relationship Id="rId55" Type="http://schemas.openxmlformats.org/officeDocument/2006/relationships/hyperlink" Target="http://money.msn.com/business-news/news.aspx?symbol=%24COMPX" TargetMode="External"/><Relationship Id="rId56" Type="http://schemas.openxmlformats.org/officeDocument/2006/relationships/hyperlink" Target="http://investing.money.msn.com/investments/charts/?symbol=%24COMPX" TargetMode="External"/><Relationship Id="rId57" Type="http://schemas.openxmlformats.org/officeDocument/2006/relationships/hyperlink" Target="http://investing.money.msn.com/investments/stock-price?symbol=%24COMPX" TargetMode="External"/><Relationship Id="rId58" Type="http://schemas.openxmlformats.org/officeDocument/2006/relationships/hyperlink" Target="http://money.msn.com/business-news/news.aspx?symbol=%24INX" TargetMode="External"/><Relationship Id="rId59" Type="http://schemas.openxmlformats.org/officeDocument/2006/relationships/hyperlink" Target="http://investing.money.msn.com/investments/charts/?symbol=%24INX" TargetMode="External"/><Relationship Id="rId40" Type="http://schemas.openxmlformats.org/officeDocument/2006/relationships/hyperlink" Target="http://money.msn.com/business-news/news.aspx?symbol=GNTX" TargetMode="External"/><Relationship Id="rId41" Type="http://schemas.openxmlformats.org/officeDocument/2006/relationships/hyperlink" Target="http://investing.money.msn.com/investments/charts/?symbol=GNTX" TargetMode="External"/><Relationship Id="rId42" Type="http://schemas.openxmlformats.org/officeDocument/2006/relationships/hyperlink" Target="http://investing.money.msn.com/investments/stock-price?symbol=GNTX" TargetMode="External"/><Relationship Id="rId43" Type="http://schemas.openxmlformats.org/officeDocument/2006/relationships/hyperlink" Target="http://money.msn.com/business-news/news.aspx?symbol=DAL" TargetMode="External"/><Relationship Id="rId44" Type="http://schemas.openxmlformats.org/officeDocument/2006/relationships/hyperlink" Target="http://investing.money.msn.com/investments/charts/?symbol=DAL" TargetMode="External"/><Relationship Id="rId45" Type="http://schemas.openxmlformats.org/officeDocument/2006/relationships/hyperlink" Target="http://investing.money.msn.com/investments/stock-price?symbol=DAL" TargetMode="External"/><Relationship Id="rId46" Type="http://schemas.openxmlformats.org/officeDocument/2006/relationships/hyperlink" Target="http://money.msn.com/business-news/news.aspx?symbol=CX" TargetMode="External"/><Relationship Id="rId47" Type="http://schemas.openxmlformats.org/officeDocument/2006/relationships/hyperlink" Target="http://investing.money.msn.com/investments/charts/?symbol=CX" TargetMode="External"/><Relationship Id="rId48" Type="http://schemas.openxmlformats.org/officeDocument/2006/relationships/hyperlink" Target="http://investing.money.msn.com/investments/stock-price?symbol=CX" TargetMode="External"/><Relationship Id="rId49" Type="http://schemas.openxmlformats.org/officeDocument/2006/relationships/hyperlink" Target="http://money.msn.com/business-news/news.aspx?symbol=CSCO" TargetMode="External"/><Relationship Id="rId1" Type="http://schemas.openxmlformats.org/officeDocument/2006/relationships/hyperlink" Target="http://money.msn.com/business-news/news.aspx?symbol=MCLOX" TargetMode="External"/><Relationship Id="rId2" Type="http://schemas.openxmlformats.org/officeDocument/2006/relationships/hyperlink" Target="http://investing.money.msn.com/investments/charts/?symbol=MCLOX" TargetMode="External"/><Relationship Id="rId3" Type="http://schemas.openxmlformats.org/officeDocument/2006/relationships/hyperlink" Target="http://investing.money.msn.com/investments/stock-price?symbol=MCLOX" TargetMode="External"/><Relationship Id="rId4" Type="http://schemas.openxmlformats.org/officeDocument/2006/relationships/hyperlink" Target="http://money.msn.com/business-news/news.aspx?symbol=YHOO" TargetMode="External"/><Relationship Id="rId5" Type="http://schemas.openxmlformats.org/officeDocument/2006/relationships/hyperlink" Target="http://investing.money.msn.com/investments/charts/?symbol=YHOO" TargetMode="External"/><Relationship Id="rId6" Type="http://schemas.openxmlformats.org/officeDocument/2006/relationships/hyperlink" Target="http://investing.money.msn.com/investments/stock-price?symbol=YHOO" TargetMode="External"/><Relationship Id="rId7" Type="http://schemas.openxmlformats.org/officeDocument/2006/relationships/hyperlink" Target="http://money.msn.com/business-news/news.aspx?symbol=WFC" TargetMode="External"/><Relationship Id="rId8" Type="http://schemas.openxmlformats.org/officeDocument/2006/relationships/hyperlink" Target="http://investing.money.msn.com/investments/charts/?symbol=WFC" TargetMode="External"/><Relationship Id="rId9" Type="http://schemas.openxmlformats.org/officeDocument/2006/relationships/hyperlink" Target="http://investing.money.msn.com/investments/stock-price?symbol=WFC" TargetMode="External"/><Relationship Id="rId30" Type="http://schemas.openxmlformats.org/officeDocument/2006/relationships/hyperlink" Target="http://investing.money.msn.com/investments/stock-price?symbol=MDT" TargetMode="External"/><Relationship Id="rId31" Type="http://schemas.openxmlformats.org/officeDocument/2006/relationships/hyperlink" Target="http://money.msn.com/business-news/news.aspx?symbol=INTC" TargetMode="External"/><Relationship Id="rId32" Type="http://schemas.openxmlformats.org/officeDocument/2006/relationships/hyperlink" Target="http://investing.money.msn.com/investments/charts/?symbol=INTC" TargetMode="External"/><Relationship Id="rId33" Type="http://schemas.openxmlformats.org/officeDocument/2006/relationships/hyperlink" Target="http://investing.money.msn.com/investments/stock-price?symbol=INTC" TargetMode="External"/><Relationship Id="rId34" Type="http://schemas.openxmlformats.org/officeDocument/2006/relationships/hyperlink" Target="http://money.msn.com/business-news/news.aspx?symbol=IMMR" TargetMode="External"/><Relationship Id="rId35" Type="http://schemas.openxmlformats.org/officeDocument/2006/relationships/hyperlink" Target="http://investing.money.msn.com/investments/charts/?symbol=IMMR" TargetMode="External"/><Relationship Id="rId36" Type="http://schemas.openxmlformats.org/officeDocument/2006/relationships/hyperlink" Target="http://investing.money.msn.com/investments/stock-price?symbol=IMMR" TargetMode="External"/><Relationship Id="rId37" Type="http://schemas.openxmlformats.org/officeDocument/2006/relationships/hyperlink" Target="http://money.msn.com/business-news/news.aspx?symbol=HD" TargetMode="External"/><Relationship Id="rId38" Type="http://schemas.openxmlformats.org/officeDocument/2006/relationships/hyperlink" Target="http://investing.money.msn.com/investments/charts/?symbol=HD" TargetMode="External"/><Relationship Id="rId39" Type="http://schemas.openxmlformats.org/officeDocument/2006/relationships/hyperlink" Target="http://investing.money.msn.com/investments/stock-price?symbol=HD" TargetMode="External"/><Relationship Id="rId20" Type="http://schemas.openxmlformats.org/officeDocument/2006/relationships/hyperlink" Target="http://investing.money.msn.com/investments/charts/?symbol=PSX" TargetMode="External"/><Relationship Id="rId21" Type="http://schemas.openxmlformats.org/officeDocument/2006/relationships/hyperlink" Target="http://investing.money.msn.com/investments/stock-price?symbol=PSX" TargetMode="External"/><Relationship Id="rId22" Type="http://schemas.openxmlformats.org/officeDocument/2006/relationships/hyperlink" Target="http://money.msn.com/business-news/news.aspx?symbol=PRGO" TargetMode="External"/><Relationship Id="rId23" Type="http://schemas.openxmlformats.org/officeDocument/2006/relationships/hyperlink" Target="http://investing.money.msn.com/investments/charts/?symbol=PRGO" TargetMode="External"/><Relationship Id="rId24" Type="http://schemas.openxmlformats.org/officeDocument/2006/relationships/hyperlink" Target="http://investing.money.msn.com/investments/stock-price?symbol=PRGO" TargetMode="External"/><Relationship Id="rId25" Type="http://schemas.openxmlformats.org/officeDocument/2006/relationships/hyperlink" Target="http://money.msn.com/business-news/news.aspx?symbol=NGVC" TargetMode="External"/><Relationship Id="rId26" Type="http://schemas.openxmlformats.org/officeDocument/2006/relationships/hyperlink" Target="http://investing.money.msn.com/investments/charts/?symbol=NGVC" TargetMode="External"/><Relationship Id="rId27" Type="http://schemas.openxmlformats.org/officeDocument/2006/relationships/hyperlink" Target="http://investing.money.msn.com/investments/stock-price?symbol=NGVC" TargetMode="External"/><Relationship Id="rId28" Type="http://schemas.openxmlformats.org/officeDocument/2006/relationships/hyperlink" Target="http://money.msn.com/business-news/news.aspx?symbol=MDT" TargetMode="External"/><Relationship Id="rId29" Type="http://schemas.openxmlformats.org/officeDocument/2006/relationships/hyperlink" Target="http://investing.money.msn.com/investments/charts/?symbol=MDT" TargetMode="External"/><Relationship Id="rId60" Type="http://schemas.openxmlformats.org/officeDocument/2006/relationships/hyperlink" Target="http://investing.money.msn.com/investments/stock-price?symbol=%24INX" TargetMode="External"/><Relationship Id="rId61" Type="http://schemas.openxmlformats.org/officeDocument/2006/relationships/hyperlink" Target="http://money.msn.com/business-news/news.aspx?symbol=%24COMP" TargetMode="External"/><Relationship Id="rId62" Type="http://schemas.openxmlformats.org/officeDocument/2006/relationships/hyperlink" Target="http://investing.money.msn.com/investments/charts/?symbol=%24COMP" TargetMode="External"/><Relationship Id="rId10" Type="http://schemas.openxmlformats.org/officeDocument/2006/relationships/hyperlink" Target="http://money.msn.com/business-news/news.aspx?symbol=TSN" TargetMode="External"/><Relationship Id="rId11" Type="http://schemas.openxmlformats.org/officeDocument/2006/relationships/hyperlink" Target="http://investing.money.msn.com/investments/charts/?symbol=TSN" TargetMode="External"/><Relationship Id="rId12" Type="http://schemas.openxmlformats.org/officeDocument/2006/relationships/hyperlink" Target="http://investing.money.msn.com/investments/stock-price?symbol=TSN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hyperlink" Target="http://www.marketwatch.com/investing/index/djia/historical" TargetMode="External"/><Relationship Id="rId2" Type="http://schemas.openxmlformats.org/officeDocument/2006/relationships/hyperlink" Target="http://www.marketwatch.com/investing/index/spx/histori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C00000"/>
    <pageSetUpPr fitToPage="1"/>
  </sheetPr>
  <dimension ref="B1:AO90"/>
  <sheetViews>
    <sheetView workbookViewId="0">
      <selection activeCell="L32" sqref="L32"/>
    </sheetView>
  </sheetViews>
  <sheetFormatPr baseColWidth="10" defaultColWidth="9.1640625" defaultRowHeight="13" x14ac:dyDescent="0.15"/>
  <cols>
    <col min="1" max="2" width="0.6640625" style="294" customWidth="1"/>
    <col min="3" max="3" width="9.33203125" style="294" customWidth="1"/>
    <col min="4" max="4" width="0.83203125" style="294" customWidth="1"/>
    <col min="5" max="5" width="18.5" style="294" customWidth="1"/>
    <col min="6" max="6" width="14" style="294" bestFit="1" customWidth="1"/>
    <col min="7" max="7" width="0.33203125" style="294" customWidth="1"/>
    <col min="8" max="8" width="0.6640625" style="294" customWidth="1"/>
    <col min="9" max="9" width="0.33203125" style="294" customWidth="1"/>
    <col min="10" max="10" width="9.33203125" style="294" customWidth="1"/>
    <col min="11" max="11" width="0.83203125" style="294" customWidth="1"/>
    <col min="12" max="12" width="15.33203125" style="294" bestFit="1" customWidth="1"/>
    <col min="13" max="13" width="14.33203125" style="294" customWidth="1"/>
    <col min="14" max="14" width="0.33203125" style="294" customWidth="1"/>
    <col min="15" max="15" width="0.6640625" style="294" customWidth="1"/>
    <col min="16" max="16" width="0.33203125" style="294" customWidth="1"/>
    <col min="17" max="17" width="9.33203125" style="294" customWidth="1"/>
    <col min="18" max="18" width="0.83203125" style="294" customWidth="1"/>
    <col min="19" max="19" width="18.33203125" style="294" customWidth="1"/>
    <col min="20" max="20" width="14" style="294" bestFit="1" customWidth="1"/>
    <col min="21" max="21" width="0.33203125" style="294" hidden="1" customWidth="1"/>
    <col min="22" max="22" width="0.6640625" style="294" customWidth="1"/>
    <col min="23" max="23" width="0.33203125" style="294" customWidth="1"/>
    <col min="24" max="24" width="9.33203125" style="294" customWidth="1"/>
    <col min="25" max="25" width="0.83203125" style="294" customWidth="1"/>
    <col min="26" max="26" width="15.5" style="294" bestFit="1" customWidth="1"/>
    <col min="27" max="27" width="14.1640625" style="294" customWidth="1"/>
    <col min="28" max="28" width="0.33203125" style="294" customWidth="1"/>
    <col min="29" max="29" width="0.6640625" style="294" customWidth="1"/>
    <col min="30" max="30" width="0.33203125" style="294" customWidth="1"/>
    <col min="31" max="31" width="9.33203125" style="294" customWidth="1"/>
    <col min="32" max="32" width="0.83203125" style="294" customWidth="1"/>
    <col min="33" max="33" width="13.6640625" style="294" customWidth="1"/>
    <col min="34" max="34" width="14.6640625" style="294" customWidth="1"/>
    <col min="35" max="35" width="0.33203125" style="294" customWidth="1"/>
    <col min="36" max="36" width="0.6640625" style="294" customWidth="1"/>
    <col min="37" max="37" width="2.83203125" style="294" customWidth="1"/>
    <col min="38" max="16384" width="9.1640625" style="294"/>
  </cols>
  <sheetData>
    <row r="1" spans="2:41" ht="3.75" customHeight="1" x14ac:dyDescent="0.15"/>
    <row r="2" spans="2:41" ht="7.5" customHeight="1" x14ac:dyDescent="0.15">
      <c r="B2" s="295"/>
      <c r="C2" s="295"/>
      <c r="D2" s="295"/>
      <c r="E2" s="295"/>
      <c r="F2" s="295"/>
      <c r="G2" s="295"/>
      <c r="H2" s="295"/>
      <c r="I2" s="295"/>
      <c r="J2" s="296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K2" s="297"/>
    </row>
    <row r="3" spans="2:41" ht="15" customHeight="1" x14ac:dyDescent="0.15">
      <c r="B3" s="295"/>
      <c r="C3" s="295"/>
      <c r="D3" s="295"/>
      <c r="E3" s="295"/>
      <c r="F3" s="295"/>
      <c r="G3" s="295"/>
      <c r="H3" s="295"/>
      <c r="I3" s="295"/>
      <c r="J3" s="296"/>
      <c r="K3" s="295"/>
      <c r="L3" s="298" t="s">
        <v>204</v>
      </c>
      <c r="M3" s="362" t="s">
        <v>308</v>
      </c>
      <c r="N3" s="295"/>
      <c r="O3" s="295"/>
      <c r="P3" s="295"/>
      <c r="Q3" s="295"/>
      <c r="R3" s="295"/>
      <c r="S3" s="298" t="s">
        <v>164</v>
      </c>
      <c r="T3" s="362"/>
      <c r="U3" s="295"/>
      <c r="V3" s="295"/>
      <c r="W3" s="295"/>
      <c r="X3" s="295"/>
      <c r="Y3" s="295"/>
      <c r="Z3" s="298" t="s">
        <v>160</v>
      </c>
      <c r="AA3" s="362"/>
      <c r="AB3" s="295"/>
      <c r="AC3" s="295"/>
      <c r="AD3" s="295"/>
      <c r="AE3" s="297"/>
      <c r="AF3" s="303"/>
      <c r="AG3" s="303" t="s">
        <v>234</v>
      </c>
      <c r="AH3" s="236">
        <f>Holdings!$I$22/Data!$D$3</f>
        <v>3.2812897236374932</v>
      </c>
      <c r="AI3" s="295"/>
      <c r="AK3" s="297"/>
    </row>
    <row r="4" spans="2:41" ht="13.5" customHeight="1" x14ac:dyDescent="0.2">
      <c r="B4" s="295"/>
      <c r="C4" s="296"/>
      <c r="D4" s="295"/>
      <c r="E4" s="299"/>
      <c r="F4" s="295"/>
      <c r="G4" s="295"/>
      <c r="H4" s="295"/>
      <c r="I4" s="295"/>
      <c r="J4" s="296"/>
      <c r="K4" s="295"/>
      <c r="L4" s="300" t="s">
        <v>205</v>
      </c>
      <c r="M4" s="455">
        <f>Holdings!$Q$22</f>
        <v>9.0942172885619676E-3</v>
      </c>
      <c r="N4" s="295"/>
      <c r="O4" s="295"/>
      <c r="P4" s="295"/>
      <c r="Q4" s="301"/>
      <c r="R4" s="302"/>
      <c r="S4" s="300" t="s">
        <v>205</v>
      </c>
      <c r="T4" s="479">
        <f>Holdings!$R$22</f>
        <v>9.0942172885619676E-3</v>
      </c>
      <c r="U4" s="302"/>
      <c r="V4" s="302"/>
      <c r="W4" s="302"/>
      <c r="X4" s="303"/>
      <c r="Y4" s="304"/>
      <c r="Z4" s="300" t="s">
        <v>205</v>
      </c>
      <c r="AA4" s="234">
        <v>4.1000000000000003E-3</v>
      </c>
      <c r="AB4" s="304"/>
      <c r="AC4" s="304"/>
      <c r="AD4" s="304"/>
      <c r="AE4" s="335"/>
      <c r="AF4" s="297"/>
      <c r="AG4" s="303" t="s">
        <v>236</v>
      </c>
      <c r="AH4" s="346">
        <f>Data!$L$595/Data!$L$3</f>
        <v>2.2276793394116634</v>
      </c>
      <c r="AI4" s="295"/>
      <c r="AK4" s="297"/>
      <c r="AN4" s="403"/>
      <c r="AO4" s="404"/>
    </row>
    <row r="5" spans="2:41" ht="3.75" customHeight="1" x14ac:dyDescent="0.2">
      <c r="B5" s="295"/>
      <c r="C5" s="296"/>
      <c r="D5" s="295"/>
      <c r="E5" s="299"/>
      <c r="F5" s="295"/>
      <c r="G5" s="295"/>
      <c r="H5" s="295"/>
      <c r="I5" s="295"/>
      <c r="J5" s="296"/>
      <c r="K5" s="295"/>
      <c r="L5" s="297"/>
      <c r="M5" s="447"/>
      <c r="N5" s="297"/>
      <c r="O5" s="297"/>
      <c r="P5" s="297"/>
      <c r="Q5" s="297"/>
      <c r="R5" s="297"/>
      <c r="S5" s="297"/>
      <c r="T5" s="447"/>
      <c r="U5" s="297"/>
      <c r="V5" s="297"/>
      <c r="W5" s="297"/>
      <c r="X5" s="304"/>
      <c r="Y5" s="304"/>
      <c r="Z5" s="306"/>
      <c r="AA5" s="234"/>
      <c r="AB5" s="304"/>
      <c r="AC5" s="304"/>
      <c r="AD5" s="304"/>
      <c r="AE5" s="304"/>
      <c r="AF5" s="297"/>
      <c r="AG5" s="306"/>
      <c r="AH5" s="304"/>
      <c r="AI5" s="295"/>
      <c r="AK5" s="297"/>
    </row>
    <row r="6" spans="2:41" ht="12.75" customHeight="1" x14ac:dyDescent="0.15">
      <c r="B6" s="295"/>
      <c r="C6" s="296"/>
      <c r="D6" s="295"/>
      <c r="E6" s="307"/>
      <c r="F6" s="234"/>
      <c r="G6" s="235"/>
      <c r="H6" s="235"/>
      <c r="I6" s="295"/>
      <c r="J6" s="296"/>
      <c r="K6" s="295"/>
      <c r="L6" s="307" t="s">
        <v>19</v>
      </c>
      <c r="M6" s="455">
        <f>(Data!$L$659/Data!$L$634)-1</f>
        <v>2.9213840184905138E-4</v>
      </c>
      <c r="N6" s="236"/>
      <c r="O6" s="295"/>
      <c r="P6" s="295"/>
      <c r="Q6" s="301"/>
      <c r="R6" s="295"/>
      <c r="S6" s="307" t="s">
        <v>19</v>
      </c>
      <c r="T6" s="458">
        <f>(Data!$L$659/Data!$L$658)-1</f>
        <v>1.7660585140497398E-2</v>
      </c>
      <c r="U6" s="295"/>
      <c r="V6" s="295"/>
      <c r="W6" s="295"/>
      <c r="X6" s="308"/>
      <c r="Y6" s="304"/>
      <c r="Z6" s="307" t="s">
        <v>19</v>
      </c>
      <c r="AA6" s="234">
        <v>-6.9999999999999999E-4</v>
      </c>
      <c r="AB6" s="304"/>
      <c r="AC6" s="304"/>
      <c r="AD6" s="304"/>
      <c r="AE6" s="402"/>
      <c r="AF6" s="356"/>
      <c r="AG6" s="303" t="s">
        <v>235</v>
      </c>
      <c r="AH6" s="305">
        <f>Holdings!$I$22</f>
        <v>74996.665729999993</v>
      </c>
      <c r="AI6" s="295"/>
      <c r="AK6" s="297"/>
    </row>
    <row r="7" spans="2:41" ht="3.75" customHeight="1" x14ac:dyDescent="0.15">
      <c r="B7" s="295"/>
      <c r="C7" s="296"/>
      <c r="D7" s="295"/>
      <c r="E7" s="307"/>
      <c r="F7" s="234"/>
      <c r="G7" s="235"/>
      <c r="H7" s="235"/>
      <c r="I7" s="295"/>
      <c r="J7" s="296"/>
      <c r="K7" s="295"/>
      <c r="L7" s="295"/>
      <c r="M7" s="478"/>
      <c r="N7" s="236"/>
      <c r="O7" s="295"/>
      <c r="P7" s="295"/>
      <c r="Q7" s="295"/>
      <c r="R7" s="295"/>
      <c r="S7" s="295"/>
      <c r="T7" s="447"/>
      <c r="U7" s="295"/>
      <c r="V7" s="295"/>
      <c r="W7" s="295"/>
      <c r="X7" s="304"/>
      <c r="Y7" s="302"/>
      <c r="Z7" s="295"/>
      <c r="AA7" s="234"/>
      <c r="AB7" s="310"/>
      <c r="AC7" s="310"/>
      <c r="AD7" s="310"/>
      <c r="AE7" s="310"/>
      <c r="AF7" s="295"/>
      <c r="AG7" s="297"/>
      <c r="AH7" s="297"/>
      <c r="AI7" s="295"/>
      <c r="AK7" s="297"/>
    </row>
    <row r="8" spans="2:41" ht="12.75" customHeight="1" x14ac:dyDescent="0.15">
      <c r="B8" s="295"/>
      <c r="C8" s="296"/>
      <c r="D8" s="295"/>
      <c r="E8" s="307"/>
      <c r="F8" s="234"/>
      <c r="G8" s="235"/>
      <c r="H8" s="235"/>
      <c r="I8" s="295"/>
      <c r="J8" s="296"/>
      <c r="K8" s="295"/>
      <c r="L8" s="307" t="s">
        <v>206</v>
      </c>
      <c r="M8" s="455">
        <f>(Data!$S$659/Data!$S$634)-1</f>
        <v>1.9696777235208351E-2</v>
      </c>
      <c r="N8" s="236"/>
      <c r="O8" s="295"/>
      <c r="P8" s="295"/>
      <c r="Q8" s="297"/>
      <c r="R8" s="295"/>
      <c r="S8" s="307" t="s">
        <v>206</v>
      </c>
      <c r="T8" s="455">
        <f>(Data!$S$659/Data!$S$658)-1</f>
        <v>1.7294374180168326E-2</v>
      </c>
      <c r="U8" s="297"/>
      <c r="V8" s="297"/>
      <c r="W8" s="297"/>
      <c r="X8" s="311"/>
      <c r="Y8" s="304"/>
      <c r="Z8" s="307" t="s">
        <v>206</v>
      </c>
      <c r="AA8" s="234">
        <v>1.6000000000000001E-3</v>
      </c>
      <c r="AB8" s="304"/>
      <c r="AC8" s="304"/>
      <c r="AD8" s="304"/>
      <c r="AE8" s="297" t="s">
        <v>187</v>
      </c>
      <c r="AF8" s="297"/>
      <c r="AG8" s="297"/>
      <c r="AH8" s="309">
        <f>Holdings!$I$4</f>
        <v>9302.3700000000008</v>
      </c>
      <c r="AI8" s="295"/>
      <c r="AK8" s="297"/>
    </row>
    <row r="9" spans="2:41" ht="12.75" customHeight="1" x14ac:dyDescent="0.15">
      <c r="B9" s="295"/>
      <c r="C9" s="296"/>
      <c r="D9" s="295"/>
      <c r="E9" s="307"/>
      <c r="F9" s="234"/>
      <c r="G9" s="235"/>
      <c r="H9" s="235"/>
      <c r="I9" s="295"/>
      <c r="J9" s="296"/>
      <c r="K9" s="295"/>
      <c r="L9" s="297"/>
      <c r="M9" s="297"/>
      <c r="N9" s="297"/>
      <c r="O9" s="297"/>
      <c r="P9" s="297"/>
      <c r="Q9" s="297"/>
      <c r="R9" s="297"/>
      <c r="S9" s="297"/>
      <c r="T9" s="234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500" t="s">
        <v>279</v>
      </c>
      <c r="AF9" s="501"/>
      <c r="AG9" s="501"/>
      <c r="AH9" s="252">
        <f>Holdings!$U$4</f>
        <v>0.12403711430972175</v>
      </c>
      <c r="AI9" s="312"/>
      <c r="AK9" s="297"/>
    </row>
    <row r="10" spans="2:41" ht="12.75" customHeight="1" x14ac:dyDescent="0.15">
      <c r="B10" s="295"/>
      <c r="C10" s="296"/>
      <c r="D10" s="295"/>
      <c r="E10" s="307"/>
      <c r="F10" s="234"/>
      <c r="G10" s="235"/>
      <c r="H10" s="235"/>
      <c r="I10" s="295"/>
      <c r="J10" s="296"/>
      <c r="K10" s="295"/>
      <c r="L10" s="356" t="s">
        <v>281</v>
      </c>
      <c r="M10" s="447">
        <f>(($M$4-$M$6)*100)*100</f>
        <v>88.02078886712917</v>
      </c>
      <c r="N10" s="356"/>
      <c r="O10" s="356"/>
      <c r="P10" s="356"/>
      <c r="Q10" s="356"/>
      <c r="R10" s="356"/>
      <c r="S10" s="356" t="s">
        <v>281</v>
      </c>
      <c r="T10" s="447">
        <f>(($T$4-$T$6)*100)*100</f>
        <v>-85.663678519354306</v>
      </c>
      <c r="U10" s="356"/>
      <c r="V10" s="356"/>
      <c r="W10" s="356"/>
      <c r="X10" s="356"/>
      <c r="Y10" s="356"/>
      <c r="Z10" s="356" t="s">
        <v>281</v>
      </c>
      <c r="AA10" s="447">
        <f>(($AA$4-$AA$6)*100)*100</f>
        <v>48.000000000000007</v>
      </c>
      <c r="AB10" s="356"/>
      <c r="AC10" s="356"/>
      <c r="AD10" s="356"/>
      <c r="AE10" s="500" t="s">
        <v>280</v>
      </c>
      <c r="AF10" s="500"/>
      <c r="AG10" s="500"/>
      <c r="AH10" s="347">
        <f>1-AH9</f>
        <v>0.87596288569027825</v>
      </c>
      <c r="AI10" s="312"/>
      <c r="AK10" s="356"/>
    </row>
    <row r="11" spans="2:41" ht="3.75" customHeight="1" x14ac:dyDescent="0.15">
      <c r="B11" s="295"/>
      <c r="C11" s="296"/>
      <c r="D11" s="295"/>
      <c r="E11" s="295"/>
      <c r="F11" s="295"/>
      <c r="G11" s="295"/>
      <c r="H11" s="295"/>
      <c r="I11" s="295"/>
      <c r="J11" s="295"/>
      <c r="K11" s="295"/>
      <c r="L11" s="295"/>
      <c r="M11" s="236"/>
      <c r="N11" s="236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312"/>
      <c r="AG11" s="312"/>
      <c r="AH11" s="312"/>
      <c r="AI11" s="312"/>
      <c r="AK11" s="297"/>
    </row>
    <row r="12" spans="2:41" ht="3.75" customHeight="1" x14ac:dyDescent="0.15">
      <c r="B12" s="314"/>
      <c r="C12" s="315"/>
      <c r="D12" s="314"/>
      <c r="E12" s="314"/>
      <c r="F12" s="237"/>
      <c r="G12" s="237"/>
      <c r="H12" s="237"/>
      <c r="I12" s="314"/>
      <c r="J12" s="315"/>
      <c r="K12" s="314"/>
      <c r="L12" s="314"/>
      <c r="M12" s="237"/>
      <c r="N12" s="237"/>
      <c r="O12" s="237"/>
      <c r="P12" s="314"/>
      <c r="Q12" s="315"/>
      <c r="R12" s="314"/>
      <c r="S12" s="314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K12" s="297"/>
    </row>
    <row r="13" spans="2:41" ht="1.5" customHeight="1" x14ac:dyDescent="0.15">
      <c r="B13" s="295"/>
      <c r="C13" s="296"/>
      <c r="D13" s="295"/>
      <c r="E13" s="295"/>
      <c r="F13" s="295"/>
      <c r="G13" s="295"/>
      <c r="H13" s="314"/>
      <c r="I13" s="295"/>
      <c r="J13" s="296"/>
      <c r="K13" s="295"/>
      <c r="L13" s="295"/>
      <c r="M13" s="295"/>
      <c r="N13" s="295"/>
      <c r="O13" s="314"/>
      <c r="P13" s="295"/>
      <c r="Q13" s="296"/>
      <c r="R13" s="295"/>
      <c r="S13" s="295"/>
      <c r="T13" s="236"/>
      <c r="V13" s="314"/>
      <c r="W13" s="295"/>
      <c r="X13" s="296"/>
      <c r="Y13" s="295"/>
      <c r="Z13" s="295"/>
      <c r="AA13" s="295"/>
      <c r="AB13" s="295"/>
      <c r="AC13" s="314"/>
      <c r="AD13" s="295"/>
      <c r="AE13" s="296"/>
      <c r="AF13" s="295"/>
      <c r="AG13" s="295"/>
      <c r="AH13" s="236"/>
      <c r="AI13" s="295"/>
      <c r="AK13" s="297"/>
    </row>
    <row r="14" spans="2:41" ht="15" x14ac:dyDescent="0.15">
      <c r="B14" s="295"/>
      <c r="C14" s="502" t="str">
        <f>Holdings!$C$5</f>
        <v>Berkshire Hathaway</v>
      </c>
      <c r="D14" s="502"/>
      <c r="E14" s="502"/>
      <c r="F14" s="317">
        <f>Holdings!$E$5</f>
        <v>163.46</v>
      </c>
      <c r="G14" s="295"/>
      <c r="H14" s="314"/>
      <c r="I14" s="295"/>
      <c r="J14" s="496" t="str">
        <f>Holdings!C19</f>
        <v xml:space="preserve">Visa </v>
      </c>
      <c r="K14" s="496"/>
      <c r="L14" s="496"/>
      <c r="M14" s="317">
        <f>Holdings!E19</f>
        <v>92</v>
      </c>
      <c r="N14" s="295"/>
      <c r="O14" s="314"/>
      <c r="P14" s="295"/>
      <c r="Q14" s="496" t="str">
        <f>Holdings!$C$10</f>
        <v>Intel</v>
      </c>
      <c r="R14" s="496"/>
      <c r="S14" s="496"/>
      <c r="T14" s="317">
        <f>Holdings!$E$10</f>
        <v>36.369999999999997</v>
      </c>
      <c r="V14" s="314"/>
      <c r="W14" s="295"/>
      <c r="X14" s="496" t="str">
        <f>Holdings!$C$14</f>
        <v>Disney</v>
      </c>
      <c r="Y14" s="496"/>
      <c r="Z14" s="496"/>
      <c r="AA14" s="317">
        <f>Holdings!$E$14</f>
        <v>112.07</v>
      </c>
      <c r="AB14" s="295"/>
      <c r="AC14" s="314"/>
      <c r="AD14" s="295"/>
      <c r="AE14" s="496" t="str">
        <f>Holdings!$C$13</f>
        <v>Phillips 66</v>
      </c>
      <c r="AF14" s="496"/>
      <c r="AG14" s="496"/>
      <c r="AH14" s="317">
        <f>Holdings!$E$13</f>
        <v>79.599999999999994</v>
      </c>
      <c r="AI14" s="295"/>
      <c r="AK14" s="297"/>
    </row>
    <row r="15" spans="2:41" ht="2.25" customHeight="1" x14ac:dyDescent="0.15">
      <c r="B15" s="295"/>
      <c r="C15" s="318"/>
      <c r="D15" s="318"/>
      <c r="E15" s="297"/>
      <c r="F15" s="317"/>
      <c r="G15" s="295"/>
      <c r="H15" s="314"/>
      <c r="I15" s="295"/>
      <c r="J15" s="319"/>
      <c r="K15" s="295"/>
      <c r="L15" s="297"/>
      <c r="M15" s="317"/>
      <c r="N15" s="295"/>
      <c r="O15" s="314"/>
      <c r="P15" s="295"/>
      <c r="Q15" s="319"/>
      <c r="R15" s="295"/>
      <c r="S15" s="297"/>
      <c r="T15" s="317"/>
      <c r="V15" s="314"/>
      <c r="W15" s="295"/>
      <c r="X15" s="319"/>
      <c r="Y15" s="295"/>
      <c r="Z15" s="297"/>
      <c r="AA15" s="317"/>
      <c r="AB15" s="295"/>
      <c r="AC15" s="314"/>
      <c r="AD15" s="295"/>
      <c r="AE15" s="319"/>
      <c r="AF15" s="295"/>
      <c r="AG15" s="356"/>
      <c r="AH15" s="317"/>
      <c r="AI15" s="295"/>
      <c r="AK15" s="297"/>
    </row>
    <row r="16" spans="2:41" ht="14" x14ac:dyDescent="0.15">
      <c r="B16" s="295"/>
      <c r="C16" s="320" t="str">
        <f>Holdings!D5</f>
        <v>BRK.B</v>
      </c>
      <c r="D16" s="295"/>
      <c r="E16" s="295" t="s">
        <v>160</v>
      </c>
      <c r="F16" s="236">
        <v>3.8E-3</v>
      </c>
      <c r="G16" s="236"/>
      <c r="H16" s="237"/>
      <c r="I16" s="295"/>
      <c r="J16" s="320" t="str">
        <f>Holdings!D19</f>
        <v>V</v>
      </c>
      <c r="K16" s="295"/>
      <c r="L16" s="295" t="s">
        <v>160</v>
      </c>
      <c r="M16" s="236">
        <v>2.3E-3</v>
      </c>
      <c r="N16" s="236"/>
      <c r="O16" s="237"/>
      <c r="P16" s="295"/>
      <c r="Q16" s="320" t="str">
        <f>Holdings!$D$10</f>
        <v>INTC</v>
      </c>
      <c r="R16" s="295"/>
      <c r="S16" s="295" t="s">
        <v>160</v>
      </c>
      <c r="T16" s="236">
        <v>4.4999999999999997E-3</v>
      </c>
      <c r="V16" s="237"/>
      <c r="W16" s="312"/>
      <c r="X16" s="320" t="str">
        <f>Holdings!$D$14</f>
        <v>DIS</v>
      </c>
      <c r="Y16" s="312"/>
      <c r="Z16" s="295" t="s">
        <v>160</v>
      </c>
      <c r="AA16" s="236">
        <v>1.2999999999999999E-3</v>
      </c>
      <c r="AB16" s="236"/>
      <c r="AC16" s="237"/>
      <c r="AD16" s="312"/>
      <c r="AE16" s="320" t="str">
        <f>Holdings!$D$13</f>
        <v>PSX</v>
      </c>
      <c r="AF16" s="312"/>
      <c r="AG16" s="295" t="s">
        <v>160</v>
      </c>
      <c r="AH16" s="346">
        <v>-0.89</v>
      </c>
      <c r="AI16" s="312"/>
      <c r="AK16" s="297"/>
    </row>
    <row r="17" spans="2:37" x14ac:dyDescent="0.15">
      <c r="B17" s="295"/>
      <c r="C17" s="296"/>
      <c r="D17" s="295"/>
      <c r="E17" s="295" t="s">
        <v>164</v>
      </c>
      <c r="F17" s="236">
        <f>Holdings!R5</f>
        <v>-1.7313935313213902E-2</v>
      </c>
      <c r="G17" s="236"/>
      <c r="H17" s="237"/>
      <c r="I17" s="295"/>
      <c r="J17" s="296"/>
      <c r="K17" s="295"/>
      <c r="L17" s="295" t="s">
        <v>164</v>
      </c>
      <c r="M17" s="236">
        <f>Holdings!R19</f>
        <v>-6.694018570503113E-3</v>
      </c>
      <c r="N17" s="236"/>
      <c r="O17" s="237"/>
      <c r="P17" s="295"/>
      <c r="Q17" s="296"/>
      <c r="R17" s="295"/>
      <c r="S17" s="295" t="s">
        <v>164</v>
      </c>
      <c r="T17" s="236">
        <f>Holdings!$R$10</f>
        <v>-5.8563994572592426E-3</v>
      </c>
      <c r="V17" s="237"/>
      <c r="W17" s="312"/>
      <c r="X17" s="296"/>
      <c r="Y17" s="312"/>
      <c r="Z17" s="295" t="s">
        <v>164</v>
      </c>
      <c r="AA17" s="236">
        <f>Holdings!$R$14</f>
        <v>1.5397674320624777E-2</v>
      </c>
      <c r="AB17" s="236"/>
      <c r="AC17" s="237"/>
      <c r="AD17" s="312"/>
      <c r="AE17" s="296"/>
      <c r="AF17" s="312"/>
      <c r="AG17" s="295" t="s">
        <v>164</v>
      </c>
      <c r="AH17" s="346">
        <f>Holdings!$R$13</f>
        <v>2.5521472392638023E-2</v>
      </c>
      <c r="AI17" s="312"/>
      <c r="AK17" s="297"/>
    </row>
    <row r="18" spans="2:37" x14ac:dyDescent="0.15">
      <c r="B18" s="295"/>
      <c r="C18" s="296"/>
      <c r="D18" s="295"/>
      <c r="E18" s="295" t="str">
        <f>L3</f>
        <v>School Year</v>
      </c>
      <c r="F18" s="236">
        <f>Holdings!Q5</f>
        <v>-1.7313935313213902E-2</v>
      </c>
      <c r="G18" s="236"/>
      <c r="H18" s="237"/>
      <c r="I18" s="295"/>
      <c r="J18" s="296"/>
      <c r="K18" s="295"/>
      <c r="L18" s="295" t="str">
        <f>$E$18</f>
        <v>School Year</v>
      </c>
      <c r="M18" s="236">
        <f>Holdings!Q19</f>
        <v>-6.694018570503113E-3</v>
      </c>
      <c r="N18" s="236"/>
      <c r="O18" s="237"/>
      <c r="P18" s="295"/>
      <c r="Q18" s="296"/>
      <c r="R18" s="295"/>
      <c r="S18" s="295" t="str">
        <f>$E$18</f>
        <v>School Year</v>
      </c>
      <c r="T18" s="236">
        <f>Holdings!$Q$10</f>
        <v>-5.8563994572592426E-3</v>
      </c>
      <c r="V18" s="237"/>
      <c r="W18" s="312"/>
      <c r="X18" s="296"/>
      <c r="Y18" s="312"/>
      <c r="Z18" s="295" t="str">
        <f>$E$18</f>
        <v>School Year</v>
      </c>
      <c r="AA18" s="236">
        <f>Holdings!$Q$14</f>
        <v>1.5397674320624777E-2</v>
      </c>
      <c r="AB18" s="236"/>
      <c r="AC18" s="237"/>
      <c r="AD18" s="312"/>
      <c r="AE18" s="296"/>
      <c r="AF18" s="312"/>
      <c r="AG18" s="295" t="str">
        <f>$E$18</f>
        <v>School Year</v>
      </c>
      <c r="AH18" s="346">
        <f>Holdings!$Q$13</f>
        <v>2.5521472392638023E-2</v>
      </c>
      <c r="AI18" s="312"/>
      <c r="AK18" s="297"/>
    </row>
    <row r="19" spans="2:37" x14ac:dyDescent="0.15">
      <c r="B19" s="295"/>
      <c r="C19" s="297"/>
      <c r="D19" s="295"/>
      <c r="E19" s="295" t="s">
        <v>165</v>
      </c>
      <c r="F19" s="236">
        <f>Holdings!P5</f>
        <v>1.0882887663747947</v>
      </c>
      <c r="G19" s="236"/>
      <c r="H19" s="237"/>
      <c r="I19" s="295"/>
      <c r="J19" s="321"/>
      <c r="K19" s="295"/>
      <c r="L19" s="295" t="s">
        <v>165</v>
      </c>
      <c r="M19" s="236">
        <f>Holdings!P19</f>
        <v>2.7591961103410334E-2</v>
      </c>
      <c r="N19" s="236"/>
      <c r="O19" s="237"/>
      <c r="P19" s="295"/>
      <c r="Q19" s="296"/>
      <c r="R19" s="295"/>
      <c r="S19" s="295" t="s">
        <v>165</v>
      </c>
      <c r="T19" s="236">
        <f>Holdings!$P$10</f>
        <v>5.4526192720741884E-2</v>
      </c>
      <c r="V19" s="237"/>
      <c r="W19" s="312"/>
      <c r="X19" s="296"/>
      <c r="Y19" s="312"/>
      <c r="Z19" s="295" t="s">
        <v>165</v>
      </c>
      <c r="AA19" s="236">
        <f>Holdings!$P$14</f>
        <v>0.19429107987278438</v>
      </c>
      <c r="AB19" s="236"/>
      <c r="AC19" s="237"/>
      <c r="AD19" s="312"/>
      <c r="AE19" s="296"/>
      <c r="AF19" s="312"/>
      <c r="AG19" s="295" t="s">
        <v>165</v>
      </c>
      <c r="AH19" s="346">
        <f>Holdings!$P$13</f>
        <v>0.12587267161608495</v>
      </c>
      <c r="AI19" s="312"/>
      <c r="AK19" s="297"/>
    </row>
    <row r="20" spans="2:37" ht="7.5" customHeight="1" x14ac:dyDescent="0.15">
      <c r="B20" s="295"/>
      <c r="C20" s="296"/>
      <c r="D20" s="295"/>
      <c r="E20" s="295"/>
      <c r="F20" s="236"/>
      <c r="G20" s="236"/>
      <c r="H20" s="237"/>
      <c r="I20" s="295"/>
      <c r="J20" s="296"/>
      <c r="K20" s="295"/>
      <c r="L20" s="295"/>
      <c r="M20" s="236"/>
      <c r="N20" s="236"/>
      <c r="O20" s="237"/>
      <c r="P20" s="295"/>
      <c r="Q20" s="296"/>
      <c r="R20" s="295"/>
      <c r="S20" s="295"/>
      <c r="T20" s="236"/>
      <c r="V20" s="237"/>
      <c r="W20" s="312"/>
      <c r="X20" s="296"/>
      <c r="Y20" s="312"/>
      <c r="Z20" s="295"/>
      <c r="AA20" s="236"/>
      <c r="AB20" s="236"/>
      <c r="AC20" s="237"/>
      <c r="AD20" s="312"/>
      <c r="AE20" s="296"/>
      <c r="AF20" s="312"/>
      <c r="AG20" s="295"/>
      <c r="AH20" s="346"/>
      <c r="AI20" s="312"/>
      <c r="AK20" s="297"/>
    </row>
    <row r="21" spans="2:37" ht="12.75" customHeight="1" x14ac:dyDescent="0.15">
      <c r="B21" s="295"/>
      <c r="C21" s="416"/>
      <c r="D21" s="295"/>
      <c r="E21" s="297" t="s">
        <v>59</v>
      </c>
      <c r="F21" s="323">
        <f>Holdings!I5</f>
        <v>4249.96</v>
      </c>
      <c r="G21" s="236"/>
      <c r="H21" s="237"/>
      <c r="I21" s="295"/>
      <c r="J21" s="416"/>
      <c r="K21" s="295"/>
      <c r="L21" s="356" t="s">
        <v>59</v>
      </c>
      <c r="M21" s="323">
        <f>Holdings!I19</f>
        <v>4600</v>
      </c>
      <c r="N21" s="236"/>
      <c r="O21" s="237"/>
      <c r="P21" s="295"/>
      <c r="Q21" s="416"/>
      <c r="R21" s="295"/>
      <c r="S21" s="356" t="s">
        <v>59</v>
      </c>
      <c r="T21" s="323">
        <f>Holdings!$I$10</f>
        <v>4579.2739599999995</v>
      </c>
      <c r="V21" s="237"/>
      <c r="W21" s="312"/>
      <c r="X21" s="416"/>
      <c r="Y21" s="295"/>
      <c r="Z21" s="356" t="s">
        <v>59</v>
      </c>
      <c r="AA21" s="323">
        <f>Holdings!$I$14</f>
        <v>2680.4902599999996</v>
      </c>
      <c r="AB21" s="236"/>
      <c r="AC21" s="237"/>
      <c r="AD21" s="312"/>
      <c r="AE21" s="416"/>
      <c r="AF21" s="312"/>
      <c r="AG21" s="356" t="s">
        <v>59</v>
      </c>
      <c r="AH21" s="323">
        <f>Holdings!$I$13</f>
        <v>3450.1823999999997</v>
      </c>
      <c r="AI21" s="312"/>
      <c r="AK21" s="297"/>
    </row>
    <row r="22" spans="2:37" ht="12.75" customHeight="1" x14ac:dyDescent="0.15">
      <c r="B22" s="295"/>
      <c r="C22" s="324"/>
      <c r="D22" s="297"/>
      <c r="E22" s="297" t="s">
        <v>193</v>
      </c>
      <c r="F22" s="323">
        <f>Holdings!H5</f>
        <v>2035.14</v>
      </c>
      <c r="G22" s="236"/>
      <c r="H22" s="237"/>
      <c r="I22" s="295"/>
      <c r="J22" s="324"/>
      <c r="K22" s="356"/>
      <c r="L22" s="356" t="s">
        <v>193</v>
      </c>
      <c r="M22" s="323">
        <f>Holdings!H19</f>
        <v>4476.4850000000006</v>
      </c>
      <c r="N22" s="236"/>
      <c r="O22" s="237"/>
      <c r="P22" s="295"/>
      <c r="Q22" s="324"/>
      <c r="R22" s="356"/>
      <c r="S22" s="356" t="s">
        <v>193</v>
      </c>
      <c r="T22" s="323">
        <f>Holdings!$H$10</f>
        <v>4342.4942799999999</v>
      </c>
      <c r="V22" s="237"/>
      <c r="W22" s="312"/>
      <c r="X22" s="324"/>
      <c r="Y22" s="356"/>
      <c r="Z22" s="356" t="s">
        <v>193</v>
      </c>
      <c r="AA22" s="323">
        <f>Holdings!$H$14</f>
        <v>2244.4195599999998</v>
      </c>
      <c r="AB22" s="236"/>
      <c r="AC22" s="237"/>
      <c r="AD22" s="312"/>
      <c r="AE22" s="324"/>
      <c r="AF22" s="312"/>
      <c r="AG22" s="356" t="s">
        <v>193</v>
      </c>
      <c r="AH22" s="323">
        <f>Holdings!$H$13</f>
        <v>3064.4516800000001</v>
      </c>
      <c r="AI22" s="312"/>
      <c r="AK22" s="297"/>
    </row>
    <row r="23" spans="2:37" ht="2.25" customHeight="1" x14ac:dyDescent="0.15">
      <c r="B23" s="295"/>
      <c r="C23" s="325"/>
      <c r="D23" s="297"/>
      <c r="E23" s="297"/>
      <c r="F23" s="323"/>
      <c r="G23" s="236"/>
      <c r="H23" s="237"/>
      <c r="I23" s="295"/>
      <c r="J23" s="325"/>
      <c r="K23" s="356"/>
      <c r="L23" s="356"/>
      <c r="M23" s="236"/>
      <c r="N23" s="236"/>
      <c r="O23" s="237"/>
      <c r="P23" s="295"/>
      <c r="Q23" s="325"/>
      <c r="R23" s="356"/>
      <c r="S23" s="356"/>
      <c r="T23" s="236"/>
      <c r="V23" s="237"/>
      <c r="W23" s="312"/>
      <c r="X23" s="325"/>
      <c r="Y23" s="356"/>
      <c r="Z23" s="356"/>
      <c r="AA23" s="236"/>
      <c r="AB23" s="236"/>
      <c r="AC23" s="237"/>
      <c r="AD23" s="312"/>
      <c r="AE23" s="296"/>
      <c r="AF23" s="312"/>
      <c r="AG23" s="295"/>
      <c r="AH23" s="346"/>
      <c r="AI23" s="312"/>
      <c r="AK23" s="297"/>
    </row>
    <row r="24" spans="2:37" x14ac:dyDescent="0.15">
      <c r="B24" s="295"/>
      <c r="C24" s="405"/>
      <c r="D24" s="410"/>
      <c r="E24" s="313" t="s">
        <v>176</v>
      </c>
      <c r="F24" s="347">
        <f>F21/$AH$6</f>
        <v>5.6668652647846193E-2</v>
      </c>
      <c r="G24" s="236"/>
      <c r="H24" s="237"/>
      <c r="I24" s="295"/>
      <c r="J24" s="405"/>
      <c r="K24" s="410"/>
      <c r="L24" s="313" t="s">
        <v>176</v>
      </c>
      <c r="M24" s="347">
        <f>M21/$AH$6</f>
        <v>6.1336060146470202E-2</v>
      </c>
      <c r="N24" s="297"/>
      <c r="O24" s="237"/>
      <c r="P24" s="297"/>
      <c r="Q24" s="405"/>
      <c r="R24" s="410"/>
      <c r="S24" s="313" t="s">
        <v>176</v>
      </c>
      <c r="T24" s="347">
        <f>T21/$AH$6</f>
        <v>6.1059700660374944E-2</v>
      </c>
      <c r="V24" s="237"/>
      <c r="W24" s="312"/>
      <c r="X24" s="405"/>
      <c r="Y24" s="410"/>
      <c r="Z24" s="313" t="s">
        <v>176</v>
      </c>
      <c r="AA24" s="347">
        <f>AA21/$AH$6</f>
        <v>3.5741459088997285E-2</v>
      </c>
      <c r="AB24" s="236"/>
      <c r="AC24" s="237"/>
      <c r="AD24" s="312"/>
      <c r="AE24" s="326"/>
      <c r="AF24" s="356"/>
      <c r="AG24" s="313" t="s">
        <v>176</v>
      </c>
      <c r="AH24" s="347">
        <f>AH21/$AH$6</f>
        <v>4.6004477217976715E-2</v>
      </c>
      <c r="AI24" s="312"/>
      <c r="AK24" s="297"/>
    </row>
    <row r="25" spans="2:37" ht="2.25" customHeight="1" x14ac:dyDescent="0.15">
      <c r="B25" s="295"/>
      <c r="C25" s="296"/>
      <c r="D25" s="295"/>
      <c r="E25" s="295"/>
      <c r="F25" s="295"/>
      <c r="G25" s="295"/>
      <c r="H25" s="314"/>
      <c r="I25" s="295"/>
      <c r="J25" s="296"/>
      <c r="K25" s="295"/>
      <c r="L25" s="295"/>
      <c r="M25" s="295"/>
      <c r="N25" s="295"/>
      <c r="O25" s="237"/>
      <c r="P25" s="295"/>
      <c r="Q25" s="296"/>
      <c r="R25" s="295"/>
      <c r="S25" s="295"/>
      <c r="T25" s="295"/>
      <c r="V25" s="237"/>
      <c r="W25" s="295"/>
      <c r="X25" s="296"/>
      <c r="Y25" s="295"/>
      <c r="Z25" s="295"/>
      <c r="AA25" s="236"/>
      <c r="AB25" s="236"/>
      <c r="AC25" s="237"/>
      <c r="AD25" s="295"/>
      <c r="AE25" s="296"/>
      <c r="AF25" s="295"/>
      <c r="AG25" s="295"/>
      <c r="AH25" s="236"/>
      <c r="AI25" s="295"/>
      <c r="AK25" s="297"/>
    </row>
    <row r="26" spans="2:37" ht="3.75" customHeight="1" x14ac:dyDescent="0.15">
      <c r="B26" s="314"/>
      <c r="C26" s="315"/>
      <c r="D26" s="314"/>
      <c r="E26" s="314"/>
      <c r="F26" s="314"/>
      <c r="J26" s="315"/>
      <c r="K26" s="314"/>
      <c r="L26" s="314"/>
      <c r="M26" s="237"/>
      <c r="N26" s="237"/>
      <c r="O26" s="237"/>
      <c r="P26" s="314"/>
      <c r="Q26" s="315"/>
      <c r="R26" s="314"/>
      <c r="S26" s="314"/>
      <c r="T26" s="237"/>
      <c r="U26" s="237"/>
      <c r="V26" s="237"/>
      <c r="W26" s="314"/>
      <c r="X26" s="315"/>
      <c r="Y26" s="314"/>
      <c r="Z26" s="314"/>
      <c r="AA26" s="237"/>
      <c r="AB26" s="237"/>
      <c r="AC26" s="237"/>
      <c r="AD26" s="314"/>
      <c r="AE26" s="315"/>
      <c r="AF26" s="314"/>
      <c r="AG26" s="314"/>
      <c r="AH26" s="237"/>
      <c r="AI26" s="314"/>
      <c r="AK26" s="297"/>
    </row>
    <row r="27" spans="2:37" ht="1.5" customHeight="1" x14ac:dyDescent="0.15">
      <c r="B27" s="295"/>
      <c r="C27" s="296"/>
      <c r="D27" s="295"/>
      <c r="E27" s="295"/>
      <c r="F27" s="295"/>
      <c r="G27" s="295"/>
      <c r="H27" s="314"/>
      <c r="I27" s="295"/>
      <c r="J27" s="296"/>
      <c r="K27" s="295"/>
      <c r="L27" s="295"/>
      <c r="M27" s="295"/>
      <c r="N27" s="295"/>
      <c r="O27" s="237"/>
      <c r="P27" s="295"/>
      <c r="Q27" s="296"/>
      <c r="R27" s="295"/>
      <c r="S27" s="295"/>
      <c r="T27" s="295"/>
      <c r="U27" s="295"/>
      <c r="V27" s="237"/>
      <c r="W27" s="295"/>
      <c r="X27" s="296"/>
      <c r="Y27" s="295"/>
      <c r="Z27" s="295"/>
      <c r="AA27" s="236"/>
      <c r="AB27" s="236"/>
      <c r="AC27" s="237"/>
      <c r="AD27" s="295"/>
      <c r="AE27" s="296"/>
      <c r="AF27" s="295"/>
      <c r="AG27" s="295"/>
      <c r="AH27" s="236"/>
      <c r="AI27" s="295"/>
      <c r="AK27" s="297"/>
    </row>
    <row r="28" spans="2:37" ht="15" x14ac:dyDescent="0.15">
      <c r="B28" s="295"/>
      <c r="C28" s="496" t="str">
        <f>Holdings!$C$6</f>
        <v>BlackRock Global</v>
      </c>
      <c r="D28" s="496"/>
      <c r="E28" s="496"/>
      <c r="F28" s="317">
        <f>Holdings!$E$6</f>
        <v>17.559999999999999</v>
      </c>
      <c r="G28" s="295"/>
      <c r="H28" s="314"/>
      <c r="I28" s="295"/>
      <c r="J28" s="496" t="str">
        <f>Holdings!C16</f>
        <v>Aqua America</v>
      </c>
      <c r="K28" s="496"/>
      <c r="L28" s="496"/>
      <c r="M28" s="317">
        <f>Holdings!E16</f>
        <v>31.3</v>
      </c>
      <c r="N28" s="295"/>
      <c r="O28" s="237"/>
      <c r="P28" s="295"/>
      <c r="Q28" s="496" t="str">
        <f>Holdings!$C$12</f>
        <v>Bank of America</v>
      </c>
      <c r="R28" s="496"/>
      <c r="S28" s="496"/>
      <c r="T28" s="317">
        <f>Holdings!$E$12</f>
        <v>23.98</v>
      </c>
      <c r="U28" s="295"/>
      <c r="V28" s="237"/>
      <c r="W28" s="295"/>
      <c r="X28" s="502" t="str">
        <f>Holdings!$C$8</f>
        <v>HanesBrands Inc</v>
      </c>
      <c r="Y28" s="502"/>
      <c r="Z28" s="502"/>
      <c r="AA28" s="317">
        <f>Holdings!$E$8</f>
        <v>22.49</v>
      </c>
      <c r="AB28" s="236"/>
      <c r="AC28" s="237"/>
      <c r="AD28" s="295"/>
      <c r="AE28" s="502" t="str">
        <f>Holdings!C18</f>
        <v>Whirlpool Corporation</v>
      </c>
      <c r="AF28" s="502"/>
      <c r="AG28" s="502"/>
      <c r="AH28" s="317">
        <f>Holdings!E18</f>
        <v>184.5</v>
      </c>
      <c r="AI28" s="295"/>
      <c r="AK28" s="297"/>
    </row>
    <row r="29" spans="2:37" ht="2.25" customHeight="1" x14ac:dyDescent="0.15">
      <c r="B29" s="295"/>
      <c r="C29" s="318"/>
      <c r="D29" s="318"/>
      <c r="E29" s="297"/>
      <c r="F29" s="317"/>
      <c r="G29" s="295"/>
      <c r="H29" s="314"/>
      <c r="I29" s="295"/>
      <c r="J29" s="318"/>
      <c r="K29" s="318"/>
      <c r="L29" s="356"/>
      <c r="M29" s="317"/>
      <c r="N29" s="295"/>
      <c r="O29" s="237"/>
      <c r="P29" s="295"/>
      <c r="Q29" s="318"/>
      <c r="R29" s="318"/>
      <c r="S29" s="356"/>
      <c r="T29" s="317"/>
      <c r="U29" s="295"/>
      <c r="V29" s="237"/>
      <c r="W29" s="295"/>
      <c r="X29" s="318"/>
      <c r="Y29" s="318"/>
      <c r="Z29" s="356"/>
      <c r="AA29" s="317"/>
      <c r="AB29" s="236"/>
      <c r="AC29" s="237"/>
      <c r="AD29" s="295"/>
      <c r="AE29" s="318"/>
      <c r="AF29" s="318"/>
      <c r="AG29" s="356"/>
      <c r="AH29" s="317"/>
      <c r="AI29" s="295"/>
      <c r="AK29" s="297"/>
    </row>
    <row r="30" spans="2:37" ht="14" x14ac:dyDescent="0.15">
      <c r="B30" s="295"/>
      <c r="C30" s="320" t="str">
        <f>Holdings!$D$6</f>
        <v>MCLOX</v>
      </c>
      <c r="D30" s="295"/>
      <c r="E30" s="295" t="s">
        <v>160</v>
      </c>
      <c r="F30" s="236">
        <v>4.1000000000000003E-3</v>
      </c>
      <c r="G30" s="236"/>
      <c r="H30" s="237"/>
      <c r="I30" s="295"/>
      <c r="J30" s="320" t="str">
        <f>Holdings!D16</f>
        <v>WTR</v>
      </c>
      <c r="K30" s="295"/>
      <c r="L30" s="295" t="s">
        <v>160</v>
      </c>
      <c r="M30" s="236">
        <v>2.7000000000000001E-3</v>
      </c>
      <c r="N30" s="236"/>
      <c r="O30" s="237"/>
      <c r="P30" s="295"/>
      <c r="Q30" s="320" t="str">
        <f>Holdings!$D$12</f>
        <v>BAC</v>
      </c>
      <c r="R30" s="295"/>
      <c r="S30" s="295" t="s">
        <v>160</v>
      </c>
      <c r="T30" s="236">
        <v>-6.0000000000000001E-3</v>
      </c>
      <c r="U30" s="236"/>
      <c r="V30" s="237"/>
      <c r="W30" s="312"/>
      <c r="X30" s="320" t="str">
        <f>Holdings!$D$8</f>
        <v>HBI</v>
      </c>
      <c r="Y30" s="295"/>
      <c r="Z30" s="295" t="s">
        <v>160</v>
      </c>
      <c r="AA30" s="346">
        <v>1.9699999999999999E-2</v>
      </c>
      <c r="AB30" s="236"/>
      <c r="AC30" s="237"/>
      <c r="AD30" s="312"/>
      <c r="AE30" s="320" t="str">
        <f>Holdings!D18</f>
        <v>WHR</v>
      </c>
      <c r="AF30" s="295"/>
      <c r="AG30" s="295" t="s">
        <v>160</v>
      </c>
      <c r="AH30" s="346">
        <v>8.0000000000000004E-4</v>
      </c>
      <c r="AI30" s="312"/>
      <c r="AK30" s="297"/>
    </row>
    <row r="31" spans="2:37" x14ac:dyDescent="0.15">
      <c r="B31" s="295"/>
      <c r="C31" s="296"/>
      <c r="D31" s="295"/>
      <c r="E31" s="295" t="s">
        <v>164</v>
      </c>
      <c r="F31" s="236">
        <f>Holdings!$R$6</f>
        <v>1.4574818677099977E-2</v>
      </c>
      <c r="G31" s="236"/>
      <c r="H31" s="237"/>
      <c r="I31" s="295"/>
      <c r="J31" s="296"/>
      <c r="K31" s="295"/>
      <c r="L31" s="295" t="s">
        <v>164</v>
      </c>
      <c r="M31" s="236">
        <f>Holdings!R16</f>
        <v>-1.3551843681058884E-2</v>
      </c>
      <c r="N31" s="236"/>
      <c r="O31" s="237"/>
      <c r="P31" s="295"/>
      <c r="Q31" s="296"/>
      <c r="R31" s="295"/>
      <c r="S31" s="295" t="s">
        <v>164</v>
      </c>
      <c r="T31" s="236">
        <f>Holdings!$R$12</f>
        <v>5.4507337526206179E-3</v>
      </c>
      <c r="U31" s="236"/>
      <c r="V31" s="237"/>
      <c r="W31" s="312"/>
      <c r="X31" s="296"/>
      <c r="Y31" s="295"/>
      <c r="Z31" s="295" t="s">
        <v>164</v>
      </c>
      <c r="AA31" s="346">
        <f>Holdings!$R$8</f>
        <v>7.7107279693486408E-2</v>
      </c>
      <c r="AB31" s="236"/>
      <c r="AC31" s="237"/>
      <c r="AD31" s="312"/>
      <c r="AE31" s="296"/>
      <c r="AF31" s="295"/>
      <c r="AG31" s="295" t="s">
        <v>164</v>
      </c>
      <c r="AH31" s="346">
        <f>Holdings!R18</f>
        <v>3.0990050562713645E-3</v>
      </c>
      <c r="AI31" s="312"/>
      <c r="AK31" s="297"/>
    </row>
    <row r="32" spans="2:37" x14ac:dyDescent="0.15">
      <c r="B32" s="295"/>
      <c r="C32" s="296"/>
      <c r="D32" s="295"/>
      <c r="E32" s="295" t="str">
        <f>$E$18</f>
        <v>School Year</v>
      </c>
      <c r="F32" s="236">
        <f>Holdings!$Q$6</f>
        <v>1.4574818677099977E-2</v>
      </c>
      <c r="G32" s="236"/>
      <c r="H32" s="237"/>
      <c r="I32" s="295"/>
      <c r="J32" s="296"/>
      <c r="K32" s="295"/>
      <c r="L32" s="295" t="str">
        <f>$E$18</f>
        <v>School Year</v>
      </c>
      <c r="M32" s="236">
        <f>Holdings!Q16</f>
        <v>-1.3551843681058884E-2</v>
      </c>
      <c r="N32" s="236"/>
      <c r="O32" s="237"/>
      <c r="P32" s="295"/>
      <c r="Q32" s="296"/>
      <c r="R32" s="295"/>
      <c r="S32" s="295" t="str">
        <f>$E$18</f>
        <v>School Year</v>
      </c>
      <c r="T32" s="236">
        <f>Holdings!$Q$12</f>
        <v>5.4507337526206179E-3</v>
      </c>
      <c r="U32" s="236"/>
      <c r="V32" s="237"/>
      <c r="W32" s="312"/>
      <c r="X32" s="296"/>
      <c r="Y32" s="295"/>
      <c r="Z32" s="295" t="s">
        <v>204</v>
      </c>
      <c r="AA32" s="346">
        <f>Holdings!$Q$8</f>
        <v>7.7107279693486408E-2</v>
      </c>
      <c r="AB32" s="236"/>
      <c r="AC32" s="237"/>
      <c r="AD32" s="312"/>
      <c r="AE32" s="296"/>
      <c r="AF32" s="295"/>
      <c r="AG32" s="295" t="s">
        <v>204</v>
      </c>
      <c r="AH32" s="346">
        <f>Holdings!Q18</f>
        <v>3.0990050562713645E-3</v>
      </c>
      <c r="AI32" s="312"/>
      <c r="AK32" s="297"/>
    </row>
    <row r="33" spans="2:37" x14ac:dyDescent="0.15">
      <c r="B33" s="295"/>
      <c r="C33" s="297"/>
      <c r="D33" s="295"/>
      <c r="E33" s="295" t="s">
        <v>165</v>
      </c>
      <c r="F33" s="236">
        <f>Holdings!$P$6</f>
        <v>1.4041279350957003E-2</v>
      </c>
      <c r="G33" s="236"/>
      <c r="H33" s="237"/>
      <c r="I33" s="295"/>
      <c r="J33" s="356"/>
      <c r="K33" s="295"/>
      <c r="L33" s="295" t="s">
        <v>165</v>
      </c>
      <c r="M33" s="236">
        <f>Holdings!Q16</f>
        <v>-1.3551843681058884E-2</v>
      </c>
      <c r="N33" s="236"/>
      <c r="O33" s="237"/>
      <c r="P33" s="295"/>
      <c r="Q33" s="356"/>
      <c r="R33" s="295"/>
      <c r="S33" s="295" t="s">
        <v>165</v>
      </c>
      <c r="T33" s="236">
        <f>Holdings!$P$12</f>
        <v>-2.7575020275750206E-2</v>
      </c>
      <c r="U33" s="236"/>
      <c r="V33" s="237"/>
      <c r="W33" s="312"/>
      <c r="X33" s="356"/>
      <c r="Y33" s="295"/>
      <c r="Z33" s="295" t="s">
        <v>165</v>
      </c>
      <c r="AA33" s="346">
        <f>Holdings!$P$8</f>
        <v>8.0349799622935425E-2</v>
      </c>
      <c r="AB33" s="236"/>
      <c r="AC33" s="237"/>
      <c r="AD33" s="312"/>
      <c r="AE33" s="356"/>
      <c r="AF33" s="295"/>
      <c r="AG33" s="295" t="s">
        <v>165</v>
      </c>
      <c r="AH33" s="346">
        <f>Holdings!R18</f>
        <v>3.0990050562713645E-3</v>
      </c>
      <c r="AI33" s="312"/>
      <c r="AK33" s="297"/>
    </row>
    <row r="34" spans="2:37" ht="7.5" customHeight="1" x14ac:dyDescent="0.15">
      <c r="B34" s="295"/>
      <c r="C34" s="296"/>
      <c r="D34" s="295"/>
      <c r="E34" s="295"/>
      <c r="F34" s="236"/>
      <c r="G34" s="236"/>
      <c r="H34" s="237"/>
      <c r="I34" s="295"/>
      <c r="J34" s="296"/>
      <c r="K34" s="295"/>
      <c r="L34" s="295"/>
      <c r="M34" s="236"/>
      <c r="N34" s="236"/>
      <c r="O34" s="237"/>
      <c r="P34" s="295"/>
      <c r="Q34" s="296"/>
      <c r="R34" s="295"/>
      <c r="S34" s="295"/>
      <c r="T34" s="236"/>
      <c r="U34" s="236"/>
      <c r="V34" s="237"/>
      <c r="W34" s="312"/>
      <c r="X34" s="296"/>
      <c r="Y34" s="295"/>
      <c r="Z34" s="295"/>
      <c r="AA34" s="346"/>
      <c r="AB34" s="236"/>
      <c r="AC34" s="237"/>
      <c r="AD34" s="312"/>
      <c r="AE34" s="296"/>
      <c r="AF34" s="295"/>
      <c r="AG34" s="295"/>
      <c r="AH34" s="346"/>
      <c r="AI34" s="312"/>
      <c r="AK34" s="297"/>
    </row>
    <row r="35" spans="2:37" ht="12.75" customHeight="1" x14ac:dyDescent="0.15">
      <c r="B35" s="295"/>
      <c r="C35" s="416"/>
      <c r="D35" s="295"/>
      <c r="E35" s="297" t="s">
        <v>59</v>
      </c>
      <c r="F35" s="323">
        <f>Holdings!$I$6</f>
        <v>2021.8935199999999</v>
      </c>
      <c r="G35" s="236"/>
      <c r="H35" s="237"/>
      <c r="I35" s="295"/>
      <c r="J35" s="416"/>
      <c r="K35" s="295"/>
      <c r="L35" s="356" t="s">
        <v>59</v>
      </c>
      <c r="M35" s="323">
        <f>Holdings!I16</f>
        <v>3130</v>
      </c>
      <c r="N35" s="236"/>
      <c r="O35" s="237"/>
      <c r="P35" s="295"/>
      <c r="Q35" s="416"/>
      <c r="R35" s="295"/>
      <c r="S35" s="356" t="s">
        <v>59</v>
      </c>
      <c r="T35" s="323">
        <f>Holdings!$I$12</f>
        <v>2398</v>
      </c>
      <c r="U35" s="236"/>
      <c r="V35" s="237"/>
      <c r="W35" s="312"/>
      <c r="X35" s="416"/>
      <c r="Y35" s="295"/>
      <c r="Z35" s="356" t="s">
        <v>59</v>
      </c>
      <c r="AA35" s="323">
        <f>Holdings!$I$8</f>
        <v>4273.0999999999995</v>
      </c>
      <c r="AB35" s="236"/>
      <c r="AC35" s="237"/>
      <c r="AD35" s="312"/>
      <c r="AE35" s="416"/>
      <c r="AF35" s="295"/>
      <c r="AG35" s="356" t="s">
        <v>59</v>
      </c>
      <c r="AH35" s="490">
        <f>Holdings!$I$18</f>
        <v>3690</v>
      </c>
      <c r="AI35" s="312"/>
      <c r="AK35" s="297"/>
    </row>
    <row r="36" spans="2:37" ht="12.75" customHeight="1" x14ac:dyDescent="0.15">
      <c r="B36" s="295"/>
      <c r="C36" s="324"/>
      <c r="D36" s="297"/>
      <c r="E36" s="297" t="s">
        <v>193</v>
      </c>
      <c r="F36" s="323">
        <f>Holdings!$H$6</f>
        <v>1993.8966599999999</v>
      </c>
      <c r="G36" s="236"/>
      <c r="H36" s="237"/>
      <c r="I36" s="295"/>
      <c r="J36" s="324"/>
      <c r="K36" s="356"/>
      <c r="L36" s="356" t="s">
        <v>193</v>
      </c>
      <c r="M36" s="323">
        <f>Holdings!H16</f>
        <v>2990</v>
      </c>
      <c r="N36" s="236"/>
      <c r="O36" s="237"/>
      <c r="P36" s="295"/>
      <c r="Q36" s="324"/>
      <c r="R36" s="356"/>
      <c r="S36" s="356" t="s">
        <v>193</v>
      </c>
      <c r="T36" s="323">
        <f>Holdings!$H$12</f>
        <v>2466</v>
      </c>
      <c r="U36" s="236"/>
      <c r="V36" s="237"/>
      <c r="W36" s="312"/>
      <c r="X36" s="324"/>
      <c r="Y36" s="356"/>
      <c r="Z36" s="356" t="s">
        <v>193</v>
      </c>
      <c r="AA36" s="323">
        <f>Holdings!$H$8</f>
        <v>3955.2930000000001</v>
      </c>
      <c r="AB36" s="236"/>
      <c r="AC36" s="237"/>
      <c r="AD36" s="312"/>
      <c r="AE36" s="324"/>
      <c r="AF36" s="356"/>
      <c r="AG36" s="356" t="s">
        <v>193</v>
      </c>
      <c r="AH36" s="323">
        <f>Holdings!$H$18</f>
        <v>3494.768</v>
      </c>
      <c r="AI36" s="312"/>
      <c r="AK36" s="297"/>
    </row>
    <row r="37" spans="2:37" ht="2.25" customHeight="1" x14ac:dyDescent="0.15">
      <c r="B37" s="295"/>
      <c r="C37" s="325"/>
      <c r="D37" s="297"/>
      <c r="E37" s="297"/>
      <c r="F37" s="323"/>
      <c r="G37" s="236"/>
      <c r="H37" s="237"/>
      <c r="I37" s="295"/>
      <c r="J37" s="325"/>
      <c r="K37" s="356"/>
      <c r="L37" s="356"/>
      <c r="M37" s="236"/>
      <c r="N37" s="236"/>
      <c r="O37" s="237"/>
      <c r="P37" s="295"/>
      <c r="Q37" s="325"/>
      <c r="R37" s="356"/>
      <c r="S37" s="356"/>
      <c r="T37" s="236"/>
      <c r="U37" s="236"/>
      <c r="V37" s="237"/>
      <c r="W37" s="312"/>
      <c r="X37" s="325"/>
      <c r="Y37" s="356"/>
      <c r="Z37" s="356"/>
      <c r="AA37" s="323"/>
      <c r="AB37" s="236"/>
      <c r="AC37" s="237"/>
      <c r="AD37" s="312"/>
      <c r="AE37" s="325"/>
      <c r="AF37" s="356"/>
      <c r="AG37" s="356"/>
      <c r="AH37" s="323"/>
      <c r="AI37" s="312"/>
      <c r="AK37" s="297"/>
    </row>
    <row r="38" spans="2:37" x14ac:dyDescent="0.15">
      <c r="B38" s="295"/>
      <c r="C38" s="308"/>
      <c r="D38" s="297"/>
      <c r="E38" s="313" t="s">
        <v>176</v>
      </c>
      <c r="F38" s="347">
        <f>F35/$AH$6</f>
        <v>2.6959778815756161E-2</v>
      </c>
      <c r="G38" s="236"/>
      <c r="H38" s="237"/>
      <c r="I38" s="295"/>
      <c r="J38" s="308"/>
      <c r="K38" s="356"/>
      <c r="L38" s="313" t="s">
        <v>176</v>
      </c>
      <c r="M38" s="347">
        <f>M35/$AH$6</f>
        <v>4.1735188751837335E-2</v>
      </c>
      <c r="N38" s="236"/>
      <c r="O38" s="237"/>
      <c r="P38" s="295"/>
      <c r="Q38" s="308"/>
      <c r="R38" s="356"/>
      <c r="S38" s="313" t="s">
        <v>176</v>
      </c>
      <c r="T38" s="347">
        <f>T35/$AH$6</f>
        <v>3.1974754832877289E-2</v>
      </c>
      <c r="U38" s="236"/>
      <c r="V38" s="237"/>
      <c r="W38" s="312"/>
      <c r="X38" s="405"/>
      <c r="Y38" s="410"/>
      <c r="Z38" s="313" t="s">
        <v>176</v>
      </c>
      <c r="AA38" s="347">
        <f>AA35/$AH$6</f>
        <v>5.697719969823517E-2</v>
      </c>
      <c r="AB38" s="236"/>
      <c r="AC38" s="237"/>
      <c r="AD38" s="297"/>
      <c r="AE38" s="405"/>
      <c r="AF38" s="410"/>
      <c r="AG38" s="313" t="s">
        <v>176</v>
      </c>
      <c r="AH38" s="347">
        <f>AH35/$AH$6</f>
        <v>4.920218737836414E-2</v>
      </c>
      <c r="AI38" s="312"/>
      <c r="AK38" s="297"/>
    </row>
    <row r="39" spans="2:37" ht="2.25" customHeight="1" x14ac:dyDescent="0.15">
      <c r="B39" s="295"/>
      <c r="C39" s="296"/>
      <c r="D39" s="295"/>
      <c r="E39" s="295"/>
      <c r="F39" s="295"/>
      <c r="G39" s="295"/>
      <c r="H39" s="314"/>
      <c r="I39" s="295"/>
      <c r="J39" s="296"/>
      <c r="K39" s="295"/>
      <c r="L39" s="295"/>
      <c r="M39" s="236"/>
      <c r="N39" s="236"/>
      <c r="O39" s="237"/>
      <c r="P39" s="295"/>
      <c r="Q39" s="296"/>
      <c r="R39" s="295"/>
      <c r="S39" s="295"/>
      <c r="T39" s="236"/>
      <c r="U39" s="236"/>
      <c r="V39" s="237"/>
      <c r="W39" s="295"/>
      <c r="X39" s="296"/>
      <c r="Y39" s="295"/>
      <c r="Z39" s="295"/>
      <c r="AA39" s="236"/>
      <c r="AB39" s="236"/>
      <c r="AC39" s="237"/>
      <c r="AD39" s="295"/>
      <c r="AE39" s="296"/>
      <c r="AF39" s="295"/>
      <c r="AG39" s="295"/>
      <c r="AH39" s="236"/>
      <c r="AI39" s="295"/>
      <c r="AK39" s="297"/>
    </row>
    <row r="40" spans="2:37" ht="3.75" customHeight="1" x14ac:dyDescent="0.15">
      <c r="B40" s="314"/>
      <c r="C40" s="315"/>
      <c r="D40" s="314"/>
      <c r="E40" s="314"/>
      <c r="F40" s="314"/>
      <c r="J40" s="315"/>
      <c r="K40" s="314"/>
      <c r="L40" s="314"/>
      <c r="M40" s="237"/>
      <c r="N40" s="237"/>
      <c r="O40" s="237"/>
      <c r="P40" s="314"/>
      <c r="Q40" s="315"/>
      <c r="R40" s="314"/>
      <c r="S40" s="314"/>
      <c r="T40" s="237"/>
      <c r="U40" s="237"/>
      <c r="V40" s="237"/>
      <c r="W40" s="314"/>
      <c r="X40" s="315"/>
      <c r="Y40" s="314"/>
      <c r="Z40" s="314"/>
      <c r="AA40" s="237"/>
      <c r="AB40" s="237"/>
      <c r="AC40" s="237"/>
      <c r="AD40" s="314"/>
      <c r="AE40" s="315"/>
      <c r="AF40" s="314"/>
      <c r="AG40" s="314"/>
      <c r="AH40" s="237"/>
      <c r="AI40" s="314"/>
      <c r="AK40" s="297"/>
    </row>
    <row r="41" spans="2:37" ht="1.5" customHeight="1" x14ac:dyDescent="0.15">
      <c r="B41" s="295"/>
      <c r="C41" s="296"/>
      <c r="D41" s="295"/>
      <c r="E41" s="295"/>
      <c r="F41" s="295"/>
      <c r="G41" s="295"/>
      <c r="H41" s="314"/>
      <c r="I41" s="295"/>
      <c r="J41" s="296"/>
      <c r="K41" s="295"/>
      <c r="L41" s="295"/>
      <c r="M41" s="236"/>
      <c r="N41" s="236"/>
      <c r="O41" s="237"/>
      <c r="P41" s="295"/>
      <c r="Q41" s="296"/>
      <c r="R41" s="295"/>
      <c r="S41" s="295"/>
      <c r="T41" s="236"/>
      <c r="U41" s="236"/>
      <c r="V41" s="237"/>
      <c r="W41" s="295"/>
      <c r="X41" s="296"/>
      <c r="Y41" s="295"/>
      <c r="Z41" s="295"/>
      <c r="AA41" s="236"/>
      <c r="AB41" s="236"/>
      <c r="AC41" s="237"/>
      <c r="AD41" s="295"/>
      <c r="AE41" s="296"/>
      <c r="AF41" s="295"/>
      <c r="AG41" s="295"/>
      <c r="AH41" s="236"/>
      <c r="AI41" s="295"/>
      <c r="AK41" s="297"/>
    </row>
    <row r="42" spans="2:37" ht="15" x14ac:dyDescent="0.15">
      <c r="B42" s="295"/>
      <c r="C42" s="496" t="str">
        <f>Holdings!$C$7</f>
        <v>Cisco</v>
      </c>
      <c r="D42" s="496"/>
      <c r="E42" s="496"/>
      <c r="F42" s="317">
        <f>Holdings!$E$7</f>
        <v>33.9</v>
      </c>
      <c r="G42" s="295"/>
      <c r="H42" s="314"/>
      <c r="I42" s="295"/>
      <c r="J42" s="496" t="str">
        <f>Holdings!$C$9</f>
        <v>Home Depot</v>
      </c>
      <c r="K42" s="496"/>
      <c r="L42" s="496"/>
      <c r="M42" s="317">
        <f>Holdings!$E$9</f>
        <v>157.68</v>
      </c>
      <c r="N42" s="236"/>
      <c r="O42" s="237"/>
      <c r="P42" s="295"/>
      <c r="Q42" s="496" t="str">
        <f>Holdings!C15</f>
        <v>Checkpoint Software</v>
      </c>
      <c r="R42" s="496"/>
      <c r="S42" s="496"/>
      <c r="T42" s="317">
        <f>Holdings!E15</f>
        <v>106.04</v>
      </c>
      <c r="U42" s="236"/>
      <c r="V42" s="237"/>
      <c r="W42" s="295"/>
      <c r="X42" s="496" t="str">
        <f>Holdings!C17</f>
        <v>Schwab US Large Cap</v>
      </c>
      <c r="Y42" s="496"/>
      <c r="Z42" s="496"/>
      <c r="AA42" s="317">
        <f>Holdings!E17</f>
        <v>57.15</v>
      </c>
      <c r="AB42" s="236"/>
      <c r="AC42" s="237"/>
      <c r="AD42" s="295"/>
      <c r="AE42" s="502" t="str">
        <f>Holdings!$C$11</f>
        <v>Delta Airlines</v>
      </c>
      <c r="AF42" s="502"/>
      <c r="AG42" s="502"/>
      <c r="AH42" s="317">
        <f>Holdings!$E$11</f>
        <v>49.56</v>
      </c>
      <c r="AI42" s="295"/>
      <c r="AK42" s="297"/>
    </row>
    <row r="43" spans="2:37" ht="2.25" customHeight="1" x14ac:dyDescent="0.15">
      <c r="B43" s="295"/>
      <c r="C43" s="319"/>
      <c r="D43" s="295"/>
      <c r="E43" s="297"/>
      <c r="F43" s="317"/>
      <c r="G43" s="295"/>
      <c r="H43" s="314"/>
      <c r="I43" s="295"/>
      <c r="J43" s="318"/>
      <c r="K43" s="318"/>
      <c r="L43" s="356"/>
      <c r="M43" s="317"/>
      <c r="N43" s="236"/>
      <c r="O43" s="237"/>
      <c r="P43" s="295"/>
      <c r="Q43" s="318"/>
      <c r="R43" s="318"/>
      <c r="S43" s="356"/>
      <c r="T43" s="317"/>
      <c r="U43" s="236"/>
      <c r="V43" s="237"/>
      <c r="W43" s="295"/>
      <c r="X43" s="318"/>
      <c r="Y43" s="318"/>
      <c r="Z43" s="356"/>
      <c r="AA43" s="317"/>
      <c r="AB43" s="236"/>
      <c r="AC43" s="237"/>
      <c r="AD43" s="295"/>
      <c r="AE43" s="318"/>
      <c r="AF43" s="318"/>
      <c r="AG43" s="356"/>
      <c r="AH43" s="317"/>
      <c r="AI43" s="295"/>
      <c r="AK43" s="297"/>
    </row>
    <row r="44" spans="2:37" ht="14" x14ac:dyDescent="0.15">
      <c r="B44" s="295"/>
      <c r="C44" s="320" t="str">
        <f>Holdings!$D$7</f>
        <v>CSCO</v>
      </c>
      <c r="D44" s="312"/>
      <c r="E44" s="295" t="s">
        <v>160</v>
      </c>
      <c r="F44" s="236">
        <v>1.2999999999999999E-3</v>
      </c>
      <c r="G44" s="236"/>
      <c r="H44" s="237"/>
      <c r="I44" s="295"/>
      <c r="J44" s="320" t="str">
        <f>Holdings!$D$9</f>
        <v>HD</v>
      </c>
      <c r="K44" s="295"/>
      <c r="L44" s="295" t="s">
        <v>160</v>
      </c>
      <c r="M44" s="236">
        <v>7.1000000000000004E-3</v>
      </c>
      <c r="N44" s="236"/>
      <c r="O44" s="237"/>
      <c r="P44" s="295"/>
      <c r="Q44" s="320" t="str">
        <f>Holdings!D15</f>
        <v>CHKP</v>
      </c>
      <c r="R44" s="295"/>
      <c r="S44" s="295" t="s">
        <v>160</v>
      </c>
      <c r="T44" s="346">
        <v>1.5699999999999999E-2</v>
      </c>
      <c r="U44" s="236"/>
      <c r="V44" s="237"/>
      <c r="W44" s="312"/>
      <c r="X44" s="320" t="str">
        <f>Holdings!D17</f>
        <v>SCHX</v>
      </c>
      <c r="Y44" s="295"/>
      <c r="Z44" s="295" t="s">
        <v>160</v>
      </c>
      <c r="AA44" s="346">
        <v>-5.0000000000000001E-4</v>
      </c>
      <c r="AB44" s="236"/>
      <c r="AC44" s="237"/>
      <c r="AD44" s="312"/>
      <c r="AE44" s="320" t="str">
        <f>Holdings!$D$11</f>
        <v>DAL</v>
      </c>
      <c r="AF44" s="295"/>
      <c r="AG44" s="295" t="s">
        <v>160</v>
      </c>
      <c r="AH44" s="346">
        <v>1.43E-2</v>
      </c>
      <c r="AI44" s="312"/>
      <c r="AK44" s="297"/>
    </row>
    <row r="45" spans="2:37" x14ac:dyDescent="0.15">
      <c r="B45" s="295"/>
      <c r="C45" s="296"/>
      <c r="D45" s="312"/>
      <c r="E45" s="295" t="s">
        <v>164</v>
      </c>
      <c r="F45" s="236">
        <f>Holdings!$R$7</f>
        <v>1.4671118941277816E-2</v>
      </c>
      <c r="G45" s="236"/>
      <c r="H45" s="237"/>
      <c r="I45" s="295"/>
      <c r="J45" s="296"/>
      <c r="K45" s="295"/>
      <c r="L45" s="295" t="s">
        <v>164</v>
      </c>
      <c r="M45" s="236">
        <f>Holdings!$R$9</f>
        <v>2.4353786897133523E-2</v>
      </c>
      <c r="N45" s="236"/>
      <c r="O45" s="237"/>
      <c r="P45" s="295"/>
      <c r="Q45" s="296"/>
      <c r="R45" s="295"/>
      <c r="S45" s="295" t="s">
        <v>164</v>
      </c>
      <c r="T45" s="346">
        <f>Holdings!R15</f>
        <v>-1.9764705882352462E-3</v>
      </c>
      <c r="U45" s="236"/>
      <c r="V45" s="237"/>
      <c r="W45" s="312"/>
      <c r="X45" s="296"/>
      <c r="Y45" s="295"/>
      <c r="Z45" s="295" t="s">
        <v>164</v>
      </c>
      <c r="AA45" s="346">
        <f>Holdings!R17</f>
        <v>8.1050148560173341E-3</v>
      </c>
      <c r="AB45" s="236"/>
      <c r="AC45" s="237"/>
      <c r="AD45" s="312"/>
      <c r="AE45" s="296"/>
      <c r="AF45" s="295"/>
      <c r="AG45" s="295" t="s">
        <v>164</v>
      </c>
      <c r="AH45" s="346">
        <f>Holdings!$R$11</f>
        <v>2.3318067406366882E-2</v>
      </c>
      <c r="AI45" s="312"/>
      <c r="AK45" s="297"/>
    </row>
    <row r="46" spans="2:37" x14ac:dyDescent="0.15">
      <c r="B46" s="295"/>
      <c r="C46" s="296"/>
      <c r="D46" s="312"/>
      <c r="E46" s="295" t="str">
        <f>$E$18</f>
        <v>School Year</v>
      </c>
      <c r="F46" s="236">
        <f>Holdings!$Q$7</f>
        <v>1.4671118941277816E-2</v>
      </c>
      <c r="G46" s="236"/>
      <c r="H46" s="237"/>
      <c r="I46" s="295"/>
      <c r="J46" s="296"/>
      <c r="K46" s="295"/>
      <c r="L46" s="295" t="str">
        <f>$E$18</f>
        <v>School Year</v>
      </c>
      <c r="M46" s="236">
        <f>Holdings!$Q$9</f>
        <v>2.4353786897133523E-2</v>
      </c>
      <c r="N46" s="236"/>
      <c r="O46" s="237"/>
      <c r="P46" s="295"/>
      <c r="Q46" s="296"/>
      <c r="R46" s="295"/>
      <c r="S46" s="295" t="str">
        <f>$E$18</f>
        <v>School Year</v>
      </c>
      <c r="T46" s="346">
        <f>T47</f>
        <v>0.34705284552845539</v>
      </c>
      <c r="U46" s="236"/>
      <c r="V46" s="237"/>
      <c r="W46" s="312"/>
      <c r="X46" s="296"/>
      <c r="Y46" s="295"/>
      <c r="Z46" s="295" t="str">
        <f>$E$18</f>
        <v>School Year</v>
      </c>
      <c r="AA46" s="346">
        <f>AA47</f>
        <v>0.10189268938351503</v>
      </c>
      <c r="AB46" s="236"/>
      <c r="AC46" s="237"/>
      <c r="AD46" s="312"/>
      <c r="AE46" s="296"/>
      <c r="AF46" s="295"/>
      <c r="AG46" s="295" t="s">
        <v>204</v>
      </c>
      <c r="AH46" s="346">
        <f>Holdings!$Q$11</f>
        <v>2.3318067406366882E-2</v>
      </c>
      <c r="AI46" s="312"/>
      <c r="AK46" s="297"/>
    </row>
    <row r="47" spans="2:37" x14ac:dyDescent="0.15">
      <c r="B47" s="295"/>
      <c r="C47" s="296"/>
      <c r="D47" s="312"/>
      <c r="E47" s="295" t="s">
        <v>165</v>
      </c>
      <c r="F47" s="236">
        <f>Holdings!$P$7</f>
        <v>0.80320394586865018</v>
      </c>
      <c r="G47" s="236"/>
      <c r="H47" s="237"/>
      <c r="I47" s="295"/>
      <c r="J47" s="356"/>
      <c r="K47" s="295"/>
      <c r="L47" s="295" t="s">
        <v>165</v>
      </c>
      <c r="M47" s="236">
        <f>Holdings!$P$9</f>
        <v>4.0154434470415028</v>
      </c>
      <c r="N47" s="236"/>
      <c r="O47" s="237"/>
      <c r="P47" s="295"/>
      <c r="Q47" s="356"/>
      <c r="R47" s="295"/>
      <c r="S47" s="295" t="s">
        <v>165</v>
      </c>
      <c r="T47" s="346">
        <f>Holdings!P15</f>
        <v>0.34705284552845539</v>
      </c>
      <c r="U47" s="236"/>
      <c r="V47" s="237"/>
      <c r="W47" s="312"/>
      <c r="X47" s="356"/>
      <c r="Y47" s="295"/>
      <c r="Z47" s="295" t="s">
        <v>165</v>
      </c>
      <c r="AA47" s="346">
        <f>Holdings!P17</f>
        <v>0.10189268938351503</v>
      </c>
      <c r="AB47" s="236"/>
      <c r="AC47" s="237"/>
      <c r="AD47" s="312"/>
      <c r="AE47" s="356"/>
      <c r="AF47" s="295"/>
      <c r="AG47" s="295" t="s">
        <v>165</v>
      </c>
      <c r="AH47" s="346">
        <f>Holdings!$P$11</f>
        <v>0.18597770991531637</v>
      </c>
      <c r="AI47" s="312"/>
      <c r="AK47" s="297"/>
    </row>
    <row r="48" spans="2:37" ht="7.5" customHeight="1" x14ac:dyDescent="0.15">
      <c r="B48" s="295"/>
      <c r="C48" s="296"/>
      <c r="D48" s="312"/>
      <c r="E48" s="295"/>
      <c r="F48" s="236"/>
      <c r="G48" s="236"/>
      <c r="H48" s="237"/>
      <c r="I48" s="295"/>
      <c r="J48" s="296"/>
      <c r="K48" s="295"/>
      <c r="L48" s="295"/>
      <c r="M48" s="236"/>
      <c r="N48" s="236"/>
      <c r="O48" s="237"/>
      <c r="P48" s="295"/>
      <c r="Q48" s="296"/>
      <c r="R48" s="295"/>
      <c r="S48" s="295"/>
      <c r="T48" s="346"/>
      <c r="U48" s="236"/>
      <c r="V48" s="237"/>
      <c r="W48" s="312"/>
      <c r="X48" s="296"/>
      <c r="Y48" s="295"/>
      <c r="Z48" s="295"/>
      <c r="AA48" s="346"/>
      <c r="AB48" s="236"/>
      <c r="AC48" s="237"/>
      <c r="AD48" s="312"/>
      <c r="AE48" s="296"/>
      <c r="AF48" s="295"/>
      <c r="AG48" s="295"/>
      <c r="AH48" s="346"/>
      <c r="AI48" s="312"/>
      <c r="AK48" s="297"/>
    </row>
    <row r="49" spans="2:37" ht="12.75" customHeight="1" x14ac:dyDescent="0.15">
      <c r="B49" s="295"/>
      <c r="C49" s="416"/>
      <c r="D49" s="312"/>
      <c r="E49" s="297" t="s">
        <v>59</v>
      </c>
      <c r="F49" s="323">
        <f>Holdings!$I$7</f>
        <v>2610.2999999999997</v>
      </c>
      <c r="G49" s="236"/>
      <c r="H49" s="237"/>
      <c r="I49" s="295"/>
      <c r="J49" s="416"/>
      <c r="K49" s="295"/>
      <c r="L49" s="356" t="s">
        <v>59</v>
      </c>
      <c r="M49" s="323">
        <f>Holdings!$I$9</f>
        <v>7203.4531200000001</v>
      </c>
      <c r="N49" s="236"/>
      <c r="O49" s="237"/>
      <c r="P49" s="295"/>
      <c r="Q49" s="416"/>
      <c r="R49" s="295"/>
      <c r="S49" s="356" t="s">
        <v>59</v>
      </c>
      <c r="T49" s="323">
        <f>Holdings!I15</f>
        <v>2120.8000000000002</v>
      </c>
      <c r="U49" s="236"/>
      <c r="V49" s="237"/>
      <c r="W49" s="312"/>
      <c r="X49" s="416"/>
      <c r="Y49" s="295"/>
      <c r="Z49" s="356" t="s">
        <v>59</v>
      </c>
      <c r="AA49" s="323">
        <f>Holdings!I17</f>
        <v>16187.680350000001</v>
      </c>
      <c r="AB49" s="236"/>
      <c r="AC49" s="237"/>
      <c r="AD49" s="312"/>
      <c r="AE49" s="416"/>
      <c r="AF49" s="295"/>
      <c r="AG49" s="356" t="s">
        <v>59</v>
      </c>
      <c r="AH49" s="323">
        <f>Holdings!$I$11</f>
        <v>2499.16212</v>
      </c>
      <c r="AI49" s="312"/>
      <c r="AK49" s="297"/>
    </row>
    <row r="50" spans="2:37" ht="12.75" customHeight="1" x14ac:dyDescent="0.15">
      <c r="B50" s="295"/>
      <c r="C50" s="324"/>
      <c r="D50" s="312"/>
      <c r="E50" s="297" t="s">
        <v>193</v>
      </c>
      <c r="F50" s="323">
        <f>Holdings!$H$7</f>
        <v>1447.5900000000001</v>
      </c>
      <c r="G50" s="236"/>
      <c r="H50" s="237"/>
      <c r="I50" s="295"/>
      <c r="J50" s="324"/>
      <c r="K50" s="356"/>
      <c r="L50" s="356" t="s">
        <v>193</v>
      </c>
      <c r="M50" s="323">
        <f>Holdings!$H$9</f>
        <v>1436.2544799999998</v>
      </c>
      <c r="N50" s="236"/>
      <c r="O50" s="237"/>
      <c r="P50" s="295"/>
      <c r="Q50" s="324"/>
      <c r="R50" s="356"/>
      <c r="S50" s="356" t="s">
        <v>193</v>
      </c>
      <c r="T50" s="323">
        <f>Holdings!H15</f>
        <v>1574.4</v>
      </c>
      <c r="U50" s="236"/>
      <c r="V50" s="237"/>
      <c r="W50" s="312"/>
      <c r="X50" s="324"/>
      <c r="Y50" s="356"/>
      <c r="Z50" s="356" t="s">
        <v>193</v>
      </c>
      <c r="AA50" s="323">
        <f>Holdings!H17</f>
        <v>14690.795670000001</v>
      </c>
      <c r="AB50" s="236"/>
      <c r="AC50" s="237"/>
      <c r="AD50" s="312"/>
      <c r="AE50" s="324"/>
      <c r="AF50" s="356"/>
      <c r="AG50" s="356" t="s">
        <v>193</v>
      </c>
      <c r="AH50" s="323">
        <f>Holdings!$H$11</f>
        <v>2107.25893</v>
      </c>
      <c r="AI50" s="312"/>
      <c r="AK50" s="297"/>
    </row>
    <row r="51" spans="2:37" ht="2.25" customHeight="1" x14ac:dyDescent="0.15">
      <c r="B51" s="295"/>
      <c r="C51" s="296"/>
      <c r="D51" s="312"/>
      <c r="E51" s="295"/>
      <c r="F51" s="236"/>
      <c r="G51" s="236"/>
      <c r="H51" s="237"/>
      <c r="I51" s="295"/>
      <c r="J51" s="325"/>
      <c r="K51" s="356"/>
      <c r="L51" s="356"/>
      <c r="M51" s="236"/>
      <c r="N51" s="236"/>
      <c r="O51" s="237"/>
      <c r="P51" s="295"/>
      <c r="Q51" s="325"/>
      <c r="R51" s="356"/>
      <c r="S51" s="356"/>
      <c r="T51" s="346"/>
      <c r="U51" s="236"/>
      <c r="V51" s="237"/>
      <c r="W51" s="312"/>
      <c r="X51" s="325"/>
      <c r="Y51" s="356"/>
      <c r="Z51" s="356"/>
      <c r="AA51" s="346"/>
      <c r="AB51" s="236"/>
      <c r="AC51" s="237"/>
      <c r="AD51" s="312"/>
      <c r="AE51" s="325"/>
      <c r="AF51" s="356"/>
      <c r="AG51" s="356"/>
      <c r="AH51" s="323"/>
      <c r="AI51" s="312"/>
      <c r="AK51" s="297"/>
    </row>
    <row r="52" spans="2:37" x14ac:dyDescent="0.15">
      <c r="B52" s="295"/>
      <c r="C52" s="326"/>
      <c r="D52" s="297"/>
      <c r="E52" s="313" t="s">
        <v>176</v>
      </c>
      <c r="F52" s="347">
        <f>F49/$AH$6</f>
        <v>3.4805547347898078E-2</v>
      </c>
      <c r="G52" s="236"/>
      <c r="I52" s="295"/>
      <c r="J52" s="308"/>
      <c r="K52" s="356"/>
      <c r="L52" s="313" t="s">
        <v>176</v>
      </c>
      <c r="M52" s="347">
        <f>M49/$AH$6</f>
        <v>9.6050311702304006E-2</v>
      </c>
      <c r="N52" s="236"/>
      <c r="P52" s="295"/>
      <c r="Q52" s="308"/>
      <c r="R52" s="356"/>
      <c r="S52" s="313" t="s">
        <v>176</v>
      </c>
      <c r="T52" s="347">
        <f>T49/$AH$6</f>
        <v>2.8278590512746525E-2</v>
      </c>
      <c r="U52" s="236"/>
      <c r="W52" s="297"/>
      <c r="X52" s="308"/>
      <c r="Y52" s="356"/>
      <c r="Z52" s="313" t="s">
        <v>176</v>
      </c>
      <c r="AA52" s="347">
        <f>AA49/$AH$6</f>
        <v>0.21584533382161605</v>
      </c>
      <c r="AB52" s="297"/>
      <c r="AD52" s="356"/>
      <c r="AE52" s="405"/>
      <c r="AF52" s="410"/>
      <c r="AG52" s="313" t="s">
        <v>176</v>
      </c>
      <c r="AH52" s="347">
        <f>AH49/$AH$6</f>
        <v>3.3323643066978256E-2</v>
      </c>
      <c r="AI52" s="312"/>
      <c r="AK52" s="297"/>
    </row>
    <row r="53" spans="2:37" ht="2.25" customHeight="1" x14ac:dyDescent="0.15">
      <c r="B53" s="295"/>
      <c r="C53" s="296"/>
      <c r="D53" s="295"/>
      <c r="E53" s="295"/>
      <c r="F53" s="295"/>
      <c r="G53" s="295"/>
      <c r="H53" s="314"/>
      <c r="I53" s="295"/>
      <c r="J53" s="296"/>
      <c r="K53" s="295"/>
      <c r="L53" s="295"/>
      <c r="M53" s="236"/>
      <c r="N53" s="236"/>
      <c r="O53" s="237"/>
      <c r="P53" s="295"/>
      <c r="Q53" s="296"/>
      <c r="R53" s="295"/>
      <c r="S53" s="295"/>
      <c r="T53" s="236"/>
      <c r="U53" s="236"/>
      <c r="V53" s="237"/>
      <c r="W53" s="295"/>
      <c r="X53" s="296"/>
      <c r="Y53" s="295"/>
      <c r="Z53" s="295"/>
      <c r="AA53" s="236"/>
      <c r="AB53" s="236"/>
      <c r="AC53" s="237"/>
      <c r="AD53" s="295"/>
      <c r="AE53" s="296"/>
      <c r="AF53" s="295"/>
      <c r="AG53" s="295"/>
      <c r="AH53" s="236"/>
      <c r="AI53" s="295"/>
      <c r="AK53" s="297"/>
    </row>
    <row r="54" spans="2:37" ht="3.75" customHeight="1" x14ac:dyDescent="0.15">
      <c r="B54" s="314"/>
      <c r="C54" s="315"/>
      <c r="D54" s="314"/>
      <c r="E54" s="314"/>
      <c r="F54" s="314"/>
      <c r="J54" s="315"/>
      <c r="K54" s="314"/>
      <c r="L54" s="314"/>
      <c r="M54" s="237"/>
      <c r="N54" s="237"/>
      <c r="O54" s="237"/>
      <c r="P54" s="314"/>
      <c r="Q54" s="315"/>
      <c r="R54" s="314"/>
      <c r="S54" s="314"/>
      <c r="T54" s="237"/>
      <c r="U54" s="237"/>
      <c r="V54" s="237"/>
      <c r="W54" s="314"/>
      <c r="X54" s="315"/>
      <c r="Y54" s="314"/>
      <c r="Z54" s="314"/>
      <c r="AA54" s="237"/>
      <c r="AB54" s="237"/>
      <c r="AC54" s="237"/>
      <c r="AD54" s="314"/>
      <c r="AE54" s="315"/>
      <c r="AF54" s="314"/>
      <c r="AG54" s="314"/>
      <c r="AH54" s="237"/>
      <c r="AI54" s="314"/>
      <c r="AK54" s="297"/>
    </row>
    <row r="55" spans="2:37" ht="1.5" customHeight="1" x14ac:dyDescent="0.15">
      <c r="B55" s="295"/>
      <c r="C55" s="296"/>
      <c r="D55" s="295"/>
      <c r="E55" s="295"/>
      <c r="F55" s="295"/>
      <c r="G55" s="295"/>
      <c r="H55" s="314"/>
      <c r="I55" s="295"/>
      <c r="J55" s="296"/>
      <c r="K55" s="295"/>
      <c r="L55" s="295"/>
      <c r="M55" s="236"/>
      <c r="N55" s="236"/>
      <c r="O55" s="237"/>
      <c r="P55" s="295"/>
      <c r="Q55" s="296"/>
      <c r="R55" s="295"/>
      <c r="S55" s="295"/>
      <c r="T55" s="236"/>
      <c r="U55" s="236"/>
      <c r="V55" s="237"/>
      <c r="W55" s="295"/>
      <c r="X55" s="296"/>
      <c r="Y55" s="295"/>
      <c r="Z55" s="295"/>
      <c r="AA55" s="295"/>
      <c r="AB55" s="295"/>
      <c r="AC55" s="237"/>
      <c r="AD55" s="295"/>
      <c r="AE55" s="296"/>
      <c r="AF55" s="295"/>
      <c r="AG55" s="295"/>
      <c r="AH55" s="236"/>
      <c r="AI55" s="295"/>
      <c r="AK55" s="297"/>
    </row>
    <row r="56" spans="2:37" ht="15" x14ac:dyDescent="0.15">
      <c r="B56" s="295"/>
      <c r="C56" s="502"/>
      <c r="D56" s="502"/>
      <c r="E56" s="502"/>
      <c r="F56" s="317"/>
      <c r="G56" s="295"/>
      <c r="H56" s="314"/>
      <c r="I56" s="295"/>
      <c r="J56" s="502"/>
      <c r="K56" s="502"/>
      <c r="L56" s="502"/>
      <c r="M56" s="317"/>
      <c r="N56" s="236"/>
      <c r="O56" s="237"/>
      <c r="P56" s="295"/>
      <c r="Q56" s="496"/>
      <c r="R56" s="496"/>
      <c r="S56" s="496"/>
      <c r="T56" s="317"/>
      <c r="U56" s="236"/>
      <c r="V56" s="237"/>
      <c r="W56" s="295"/>
      <c r="X56" s="496"/>
      <c r="Y56" s="496"/>
      <c r="Z56" s="496"/>
      <c r="AA56" s="317"/>
      <c r="AB56" s="295"/>
      <c r="AC56" s="237"/>
      <c r="AD56" s="295"/>
      <c r="AE56" s="496"/>
      <c r="AF56" s="496"/>
      <c r="AG56" s="496"/>
      <c r="AH56" s="317"/>
      <c r="AI56" s="295"/>
      <c r="AK56" s="297"/>
    </row>
    <row r="57" spans="2:37" ht="2.25" customHeight="1" x14ac:dyDescent="0.15">
      <c r="B57" s="295"/>
      <c r="C57" s="318"/>
      <c r="D57" s="318"/>
      <c r="E57" s="356"/>
      <c r="F57" s="317"/>
      <c r="G57" s="295"/>
      <c r="H57" s="314"/>
      <c r="I57" s="295"/>
      <c r="J57" s="318"/>
      <c r="K57" s="318"/>
      <c r="L57" s="356"/>
      <c r="M57" s="317"/>
      <c r="N57" s="236"/>
      <c r="O57" s="237"/>
      <c r="P57" s="295"/>
      <c r="Q57" s="319"/>
      <c r="R57" s="295"/>
      <c r="S57" s="356"/>
      <c r="T57" s="317"/>
      <c r="U57" s="236"/>
      <c r="V57" s="237"/>
      <c r="W57" s="295"/>
      <c r="X57" s="319"/>
      <c r="Y57" s="295"/>
      <c r="Z57" s="356"/>
      <c r="AA57" s="317"/>
      <c r="AB57" s="295"/>
      <c r="AC57" s="237"/>
      <c r="AD57" s="295"/>
      <c r="AE57" s="319"/>
      <c r="AF57" s="295"/>
      <c r="AG57" s="356"/>
      <c r="AH57" s="317"/>
      <c r="AI57" s="295"/>
      <c r="AK57" s="297"/>
    </row>
    <row r="58" spans="2:37" ht="14" x14ac:dyDescent="0.15">
      <c r="B58" s="295"/>
      <c r="C58" s="320"/>
      <c r="D58" s="295"/>
      <c r="E58" s="295"/>
      <c r="F58" s="346"/>
      <c r="G58" s="236"/>
      <c r="H58" s="237"/>
      <c r="I58" s="295"/>
      <c r="J58" s="320"/>
      <c r="K58" s="295"/>
      <c r="L58" s="295"/>
      <c r="M58" s="346"/>
      <c r="N58" s="236"/>
      <c r="O58" s="237"/>
      <c r="P58" s="295"/>
      <c r="Q58" s="320"/>
      <c r="R58" s="312"/>
      <c r="S58" s="295"/>
      <c r="T58" s="346"/>
      <c r="U58" s="236"/>
      <c r="V58" s="237"/>
      <c r="W58" s="312"/>
      <c r="X58" s="320"/>
      <c r="Y58" s="312"/>
      <c r="Z58" s="295"/>
      <c r="AA58" s="346"/>
      <c r="AB58" s="312"/>
      <c r="AC58" s="237"/>
      <c r="AD58" s="312"/>
      <c r="AE58" s="320"/>
      <c r="AF58" s="312"/>
      <c r="AG58" s="295"/>
      <c r="AH58" s="346"/>
      <c r="AI58" s="312"/>
      <c r="AK58" s="297"/>
    </row>
    <row r="59" spans="2:37" x14ac:dyDescent="0.15">
      <c r="B59" s="295"/>
      <c r="C59" s="296"/>
      <c r="D59" s="295"/>
      <c r="E59" s="295"/>
      <c r="F59" s="346"/>
      <c r="G59" s="236"/>
      <c r="H59" s="237"/>
      <c r="I59" s="295"/>
      <c r="J59" s="296"/>
      <c r="K59" s="295"/>
      <c r="L59" s="295"/>
      <c r="M59" s="346"/>
      <c r="N59" s="236"/>
      <c r="O59" s="237"/>
      <c r="P59" s="295"/>
      <c r="Q59" s="296"/>
      <c r="R59" s="312"/>
      <c r="S59" s="295"/>
      <c r="T59" s="346"/>
      <c r="U59" s="236"/>
      <c r="V59" s="237"/>
      <c r="W59" s="312"/>
      <c r="X59" s="296"/>
      <c r="Y59" s="312"/>
      <c r="Z59" s="295"/>
      <c r="AA59" s="346"/>
      <c r="AB59" s="312"/>
      <c r="AC59" s="237"/>
      <c r="AD59" s="312"/>
      <c r="AE59" s="296"/>
      <c r="AF59" s="312"/>
      <c r="AG59" s="295"/>
      <c r="AH59" s="346"/>
      <c r="AI59" s="312"/>
      <c r="AK59" s="297"/>
    </row>
    <row r="60" spans="2:37" x14ac:dyDescent="0.15">
      <c r="B60" s="295"/>
      <c r="C60" s="296"/>
      <c r="D60" s="295"/>
      <c r="E60" s="295"/>
      <c r="F60" s="346"/>
      <c r="G60" s="236"/>
      <c r="H60" s="237"/>
      <c r="I60" s="295"/>
      <c r="J60" s="296"/>
      <c r="K60" s="295"/>
      <c r="L60" s="295"/>
      <c r="M60" s="346"/>
      <c r="N60" s="236"/>
      <c r="O60" s="237"/>
      <c r="P60" s="295"/>
      <c r="Q60" s="296"/>
      <c r="R60" s="312"/>
      <c r="S60" s="295"/>
      <c r="T60" s="346"/>
      <c r="U60" s="236"/>
      <c r="V60" s="237"/>
      <c r="W60" s="312"/>
      <c r="X60" s="296"/>
      <c r="Y60" s="312"/>
      <c r="Z60" s="295"/>
      <c r="AA60" s="346"/>
      <c r="AB60" s="312"/>
      <c r="AC60" s="237"/>
      <c r="AD60" s="312"/>
      <c r="AE60" s="296"/>
      <c r="AF60" s="312"/>
      <c r="AG60" s="295"/>
      <c r="AH60" s="346"/>
      <c r="AI60" s="312"/>
      <c r="AK60" s="297"/>
    </row>
    <row r="61" spans="2:37" x14ac:dyDescent="0.15">
      <c r="B61" s="295"/>
      <c r="C61" s="356"/>
      <c r="D61" s="295"/>
      <c r="E61" s="295"/>
      <c r="F61" s="346"/>
      <c r="G61" s="236"/>
      <c r="H61" s="237"/>
      <c r="I61" s="295"/>
      <c r="J61" s="356"/>
      <c r="K61" s="295"/>
      <c r="L61" s="295"/>
      <c r="M61" s="346"/>
      <c r="N61" s="236"/>
      <c r="O61" s="237"/>
      <c r="P61" s="295"/>
      <c r="Q61" s="296"/>
      <c r="R61" s="312"/>
      <c r="S61" s="295"/>
      <c r="T61" s="346"/>
      <c r="U61" s="236"/>
      <c r="V61" s="237"/>
      <c r="W61" s="312"/>
      <c r="X61" s="296"/>
      <c r="Y61" s="312"/>
      <c r="Z61" s="295"/>
      <c r="AA61" s="346"/>
      <c r="AB61" s="312"/>
      <c r="AC61" s="237"/>
      <c r="AD61" s="312"/>
      <c r="AE61" s="296"/>
      <c r="AF61" s="312"/>
      <c r="AG61" s="295"/>
      <c r="AH61" s="346"/>
      <c r="AI61" s="312"/>
      <c r="AK61" s="297"/>
    </row>
    <row r="62" spans="2:37" ht="7.5" customHeight="1" x14ac:dyDescent="0.15">
      <c r="B62" s="295"/>
      <c r="C62" s="296"/>
      <c r="D62" s="295"/>
      <c r="E62" s="295"/>
      <c r="F62" s="346"/>
      <c r="G62" s="236"/>
      <c r="H62" s="237"/>
      <c r="I62" s="295"/>
      <c r="J62" s="296"/>
      <c r="K62" s="295"/>
      <c r="L62" s="295"/>
      <c r="M62" s="346"/>
      <c r="N62" s="236"/>
      <c r="O62" s="237"/>
      <c r="P62" s="295"/>
      <c r="Q62" s="296"/>
      <c r="R62" s="312"/>
      <c r="S62" s="295"/>
      <c r="T62" s="346"/>
      <c r="U62" s="236"/>
      <c r="V62" s="237"/>
      <c r="W62" s="312"/>
      <c r="X62" s="296"/>
      <c r="Y62" s="312"/>
      <c r="Z62" s="295"/>
      <c r="AA62" s="346"/>
      <c r="AB62" s="312"/>
      <c r="AC62" s="237"/>
      <c r="AD62" s="312"/>
      <c r="AE62" s="296"/>
      <c r="AF62" s="312"/>
      <c r="AG62" s="295"/>
      <c r="AH62" s="346"/>
      <c r="AI62" s="312"/>
      <c r="AK62" s="297"/>
    </row>
    <row r="63" spans="2:37" ht="12.75" customHeight="1" x14ac:dyDescent="0.15">
      <c r="B63" s="295"/>
      <c r="C63" s="416"/>
      <c r="D63" s="295"/>
      <c r="E63" s="356"/>
      <c r="F63" s="323"/>
      <c r="G63" s="236"/>
      <c r="H63" s="237"/>
      <c r="I63" s="295"/>
      <c r="J63" s="416"/>
      <c r="K63" s="295"/>
      <c r="L63" s="356"/>
      <c r="M63" s="323"/>
      <c r="N63" s="236"/>
      <c r="O63" s="237"/>
      <c r="P63" s="295"/>
      <c r="Q63" s="416"/>
      <c r="R63" s="312"/>
      <c r="S63" s="356"/>
      <c r="T63" s="323"/>
      <c r="U63" s="236"/>
      <c r="V63" s="237"/>
      <c r="W63" s="312"/>
      <c r="X63" s="416"/>
      <c r="Y63" s="312"/>
      <c r="Z63" s="356"/>
      <c r="AA63" s="323"/>
      <c r="AB63" s="312"/>
      <c r="AC63" s="237"/>
      <c r="AD63" s="312"/>
      <c r="AE63" s="416"/>
      <c r="AF63" s="312"/>
      <c r="AG63" s="356"/>
      <c r="AH63" s="323"/>
      <c r="AI63" s="312"/>
      <c r="AK63" s="297"/>
    </row>
    <row r="64" spans="2:37" ht="12.75" customHeight="1" x14ac:dyDescent="0.15">
      <c r="B64" s="295"/>
      <c r="C64" s="324"/>
      <c r="D64" s="356"/>
      <c r="E64" s="356"/>
      <c r="F64" s="323"/>
      <c r="G64" s="236"/>
      <c r="H64" s="237"/>
      <c r="I64" s="295"/>
      <c r="J64" s="324"/>
      <c r="K64" s="356"/>
      <c r="L64" s="356"/>
      <c r="M64" s="323"/>
      <c r="N64" s="236"/>
      <c r="O64" s="237"/>
      <c r="P64" s="295"/>
      <c r="Q64" s="324"/>
      <c r="R64" s="295"/>
      <c r="S64" s="356"/>
      <c r="T64" s="323"/>
      <c r="U64" s="236"/>
      <c r="V64" s="237"/>
      <c r="W64" s="312"/>
      <c r="X64" s="324"/>
      <c r="Y64" s="312"/>
      <c r="Z64" s="356"/>
      <c r="AA64" s="323"/>
      <c r="AB64" s="312"/>
      <c r="AC64" s="237"/>
      <c r="AD64" s="312"/>
      <c r="AE64" s="324"/>
      <c r="AF64" s="312"/>
      <c r="AG64" s="356"/>
      <c r="AH64" s="323"/>
      <c r="AI64" s="312"/>
      <c r="AK64" s="297"/>
    </row>
    <row r="65" spans="2:37" ht="2.25" customHeight="1" x14ac:dyDescent="0.15">
      <c r="B65" s="295"/>
      <c r="C65" s="325"/>
      <c r="D65" s="356"/>
      <c r="E65" s="356"/>
      <c r="F65" s="323"/>
      <c r="G65" s="236"/>
      <c r="H65" s="237"/>
      <c r="I65" s="295"/>
      <c r="J65" s="325"/>
      <c r="K65" s="356"/>
      <c r="L65" s="356"/>
      <c r="M65" s="323"/>
      <c r="N65" s="236"/>
      <c r="O65" s="237"/>
      <c r="P65" s="295"/>
      <c r="Q65" s="296"/>
      <c r="R65" s="295"/>
      <c r="S65" s="295"/>
      <c r="T65" s="346"/>
      <c r="U65" s="236"/>
      <c r="V65" s="237"/>
      <c r="W65" s="312"/>
      <c r="X65" s="296"/>
      <c r="Y65" s="312"/>
      <c r="Z65" s="295"/>
      <c r="AA65" s="346"/>
      <c r="AB65" s="312"/>
      <c r="AC65" s="237"/>
      <c r="AD65" s="312"/>
      <c r="AE65" s="296"/>
      <c r="AF65" s="312"/>
      <c r="AG65" s="295"/>
      <c r="AH65" s="346"/>
      <c r="AI65" s="312"/>
      <c r="AK65" s="297"/>
    </row>
    <row r="66" spans="2:37" x14ac:dyDescent="0.15">
      <c r="B66" s="295"/>
      <c r="C66" s="405"/>
      <c r="D66" s="410"/>
      <c r="E66" s="313"/>
      <c r="F66" s="347"/>
      <c r="G66" s="297"/>
      <c r="I66" s="297"/>
      <c r="J66" s="405"/>
      <c r="K66" s="410"/>
      <c r="L66" s="313"/>
      <c r="M66" s="347"/>
      <c r="N66" s="297"/>
      <c r="P66" s="297"/>
      <c r="Q66" s="356"/>
      <c r="R66" s="356"/>
      <c r="S66" s="313"/>
      <c r="T66" s="347"/>
      <c r="U66" s="297"/>
      <c r="W66" s="312"/>
      <c r="X66" s="326"/>
      <c r="Y66" s="356"/>
      <c r="Z66" s="313"/>
      <c r="AA66" s="347"/>
      <c r="AB66" s="312"/>
      <c r="AD66" s="297"/>
      <c r="AE66" s="326"/>
      <c r="AF66" s="356"/>
      <c r="AG66" s="313"/>
      <c r="AH66" s="347"/>
      <c r="AI66" s="312"/>
      <c r="AK66" s="297"/>
    </row>
    <row r="67" spans="2:37" ht="2.25" customHeight="1" x14ac:dyDescent="0.15">
      <c r="B67" s="295"/>
      <c r="C67" s="296"/>
      <c r="D67" s="295"/>
      <c r="E67" s="295"/>
      <c r="F67" s="295"/>
      <c r="G67" s="295"/>
      <c r="H67" s="314"/>
      <c r="I67" s="295"/>
      <c r="J67" s="296"/>
      <c r="K67" s="295"/>
      <c r="L67" s="295"/>
      <c r="M67" s="236"/>
      <c r="N67" s="236"/>
      <c r="O67" s="314"/>
      <c r="P67" s="295"/>
      <c r="Q67" s="295"/>
      <c r="R67" s="295"/>
      <c r="S67" s="295"/>
      <c r="T67" s="295"/>
      <c r="U67" s="295"/>
      <c r="V67" s="314"/>
      <c r="W67" s="295"/>
      <c r="X67" s="296"/>
      <c r="Y67" s="295"/>
      <c r="Z67" s="295"/>
      <c r="AA67" s="236"/>
      <c r="AB67" s="295"/>
      <c r="AC67" s="314"/>
      <c r="AD67" s="295"/>
      <c r="AE67" s="296"/>
      <c r="AF67" s="295"/>
      <c r="AG67" s="295"/>
      <c r="AH67" s="236"/>
      <c r="AI67" s="295"/>
      <c r="AK67" s="297"/>
    </row>
    <row r="68" spans="2:37" ht="6" customHeight="1" x14ac:dyDescent="0.15">
      <c r="AK68" s="297"/>
    </row>
    <row r="69" spans="2:37" ht="6" customHeight="1" x14ac:dyDescent="0.15"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D69" s="295"/>
      <c r="AE69" s="296"/>
      <c r="AF69" s="295"/>
      <c r="AG69" s="295"/>
      <c r="AH69" s="236"/>
      <c r="AI69" s="295"/>
      <c r="AK69" s="297"/>
    </row>
    <row r="70" spans="2:37" ht="13.5" customHeight="1" x14ac:dyDescent="0.15">
      <c r="B70" s="297"/>
      <c r="C70" s="499" t="s">
        <v>227</v>
      </c>
      <c r="D70" s="499"/>
      <c r="E70" s="499"/>
      <c r="F70" s="499"/>
      <c r="G70" s="499"/>
      <c r="H70" s="499"/>
      <c r="I70" s="499"/>
      <c r="J70" s="499"/>
      <c r="K70" s="297"/>
      <c r="L70" s="297"/>
      <c r="M70" s="308"/>
      <c r="N70" s="297"/>
      <c r="P70" s="297"/>
      <c r="Q70" s="499" t="s">
        <v>229</v>
      </c>
      <c r="R70" s="499"/>
      <c r="S70" s="499"/>
      <c r="T70" s="499"/>
      <c r="U70" s="499"/>
      <c r="V70" s="499"/>
      <c r="W70" s="499"/>
      <c r="X70" s="499"/>
      <c r="Y70" s="297"/>
      <c r="Z70" s="297"/>
      <c r="AA70" s="297"/>
      <c r="AB70" s="297"/>
      <c r="AD70" s="295"/>
      <c r="AE70" s="496"/>
      <c r="AF70" s="496"/>
      <c r="AG70" s="496"/>
      <c r="AH70" s="317"/>
      <c r="AI70" s="295"/>
      <c r="AK70" s="297"/>
    </row>
    <row r="71" spans="2:37" ht="3.75" customHeight="1" x14ac:dyDescent="0.15">
      <c r="B71" s="297"/>
      <c r="C71" s="32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D71" s="295"/>
      <c r="AE71" s="319"/>
      <c r="AF71" s="295"/>
      <c r="AG71" s="297"/>
      <c r="AH71" s="317"/>
      <c r="AI71" s="295"/>
      <c r="AK71" s="297"/>
    </row>
    <row r="72" spans="2:37" ht="14" x14ac:dyDescent="0.15">
      <c r="B72" s="297"/>
      <c r="C72" s="297"/>
      <c r="D72" s="297"/>
      <c r="E72" s="297"/>
      <c r="F72" s="328" t="s">
        <v>178</v>
      </c>
      <c r="G72" s="328"/>
      <c r="H72" s="328"/>
      <c r="I72" s="328"/>
      <c r="J72" s="328" t="s">
        <v>220</v>
      </c>
      <c r="K72" s="328"/>
      <c r="L72" s="328" t="s">
        <v>171</v>
      </c>
      <c r="M72" s="329" t="s">
        <v>221</v>
      </c>
      <c r="N72" s="297"/>
      <c r="P72" s="297"/>
      <c r="Q72" s="297"/>
      <c r="R72" s="328"/>
      <c r="S72" s="328"/>
      <c r="T72" s="328" t="s">
        <v>172</v>
      </c>
      <c r="U72" s="328"/>
      <c r="V72" s="328"/>
      <c r="W72" s="328"/>
      <c r="X72" s="328" t="s">
        <v>222</v>
      </c>
      <c r="Y72" s="329"/>
      <c r="Z72" s="328" t="s">
        <v>171</v>
      </c>
      <c r="AA72" s="329" t="s">
        <v>221</v>
      </c>
      <c r="AB72" s="297"/>
      <c r="AD72" s="312"/>
      <c r="AE72" s="320"/>
      <c r="AF72" s="312"/>
      <c r="AG72" s="295"/>
      <c r="AH72" s="236"/>
      <c r="AI72" s="312"/>
      <c r="AK72" s="297"/>
    </row>
    <row r="73" spans="2:37" x14ac:dyDescent="0.15">
      <c r="B73" s="297"/>
      <c r="C73" s="327"/>
      <c r="D73" s="494" t="str">
        <f>Holdings!C29</f>
        <v>GW Pharmaceuticals</v>
      </c>
      <c r="E73" s="495"/>
      <c r="F73" s="406">
        <f>Holdings!E29</f>
        <v>42209</v>
      </c>
      <c r="G73" s="356"/>
      <c r="H73" s="356"/>
      <c r="I73" s="356"/>
      <c r="J73" s="331">
        <f>Holdings!H29</f>
        <v>116.8</v>
      </c>
      <c r="K73" s="327"/>
      <c r="L73" s="332">
        <f>Holdings!I29</f>
        <v>61.81</v>
      </c>
      <c r="M73" s="241">
        <f>L73/J73-1</f>
        <v>-0.47080479452054791</v>
      </c>
      <c r="N73" s="297"/>
      <c r="P73" s="297"/>
      <c r="Q73" s="327"/>
      <c r="R73" s="494" t="str">
        <f>Holdings!C36</f>
        <v>Yahoo</v>
      </c>
      <c r="S73" s="495"/>
      <c r="T73" s="406">
        <f>Holdings!E36</f>
        <v>42173</v>
      </c>
      <c r="U73" s="297"/>
      <c r="V73" s="333"/>
      <c r="W73" s="327"/>
      <c r="X73" s="331">
        <f>Holdings!H36</f>
        <v>41.14</v>
      </c>
      <c r="Y73" s="333">
        <v>19.71</v>
      </c>
      <c r="Z73" s="332">
        <f>Holdings!I36</f>
        <v>30.16</v>
      </c>
      <c r="AA73" s="241">
        <f>(Z73-X73)/X73</f>
        <v>-0.26689353427321344</v>
      </c>
      <c r="AB73" s="297"/>
      <c r="AD73" s="312"/>
      <c r="AE73" s="296"/>
      <c r="AF73" s="312"/>
      <c r="AG73" s="295"/>
      <c r="AH73" s="236"/>
      <c r="AI73" s="312"/>
      <c r="AK73" s="297"/>
    </row>
    <row r="74" spans="2:37" x14ac:dyDescent="0.15">
      <c r="B74" s="356"/>
      <c r="C74" s="327"/>
      <c r="D74" s="494" t="str">
        <f>Holdings!C30</f>
        <v>Netflix</v>
      </c>
      <c r="E74" s="495"/>
      <c r="F74" s="406">
        <f>Holdings!E30</f>
        <v>42216</v>
      </c>
      <c r="G74" s="356"/>
      <c r="H74" s="356"/>
      <c r="I74" s="356"/>
      <c r="J74" s="331">
        <f>Holdings!H30</f>
        <v>113.73</v>
      </c>
      <c r="K74" s="327"/>
      <c r="L74" s="332">
        <f>Holdings!I30</f>
        <v>114.56</v>
      </c>
      <c r="M74" s="241">
        <f t="shared" ref="M74:M77" si="0">L74/J74-1</f>
        <v>7.2979864591575794E-3</v>
      </c>
      <c r="N74" s="356"/>
      <c r="P74" s="356"/>
      <c r="Q74" s="327"/>
      <c r="R74" s="494" t="str">
        <f>Holdings!C37</f>
        <v>20+Yr Treasury ETF</v>
      </c>
      <c r="S74" s="495"/>
      <c r="T74" s="406">
        <f>Holdings!E37</f>
        <v>42187</v>
      </c>
      <c r="U74" s="356"/>
      <c r="V74" s="333"/>
      <c r="W74" s="327"/>
      <c r="X74" s="331">
        <f>Holdings!H37</f>
        <v>116.44</v>
      </c>
      <c r="Y74" s="333">
        <v>19.71</v>
      </c>
      <c r="Z74" s="332">
        <f>Holdings!I37</f>
        <v>122.81</v>
      </c>
      <c r="AA74" s="241">
        <f t="shared" ref="AA74:AA81" si="1">(Z74-X74)/X74</f>
        <v>5.4706286499484752E-2</v>
      </c>
      <c r="AB74" s="356"/>
      <c r="AD74" s="312"/>
      <c r="AE74" s="296"/>
      <c r="AF74" s="312"/>
      <c r="AG74" s="295"/>
      <c r="AH74" s="346"/>
      <c r="AI74" s="312"/>
      <c r="AK74" s="356"/>
    </row>
    <row r="75" spans="2:37" x14ac:dyDescent="0.15">
      <c r="B75" s="356"/>
      <c r="C75" s="327"/>
      <c r="D75" s="494" t="str">
        <f>Holdings!C31</f>
        <v>Walgreens</v>
      </c>
      <c r="E75" s="495"/>
      <c r="F75" s="406">
        <f>Holdings!E31</f>
        <v>42265</v>
      </c>
      <c r="G75" s="356"/>
      <c r="H75" s="356"/>
      <c r="I75" s="356"/>
      <c r="J75" s="331">
        <f>Holdings!H31</f>
        <v>20.764700000000001</v>
      </c>
      <c r="K75" s="327"/>
      <c r="L75" s="332">
        <f>Holdings!I31</f>
        <v>22.49</v>
      </c>
      <c r="M75" s="241">
        <f t="shared" si="0"/>
        <v>8.3088125520715206E-2</v>
      </c>
      <c r="N75" s="356"/>
      <c r="P75" s="356"/>
      <c r="Q75" s="327"/>
      <c r="R75" s="494" t="str">
        <f>Holdings!C38</f>
        <v>US Silica</v>
      </c>
      <c r="S75" s="495"/>
      <c r="T75" s="406">
        <f>Holdings!E38</f>
        <v>42187</v>
      </c>
      <c r="U75" s="356"/>
      <c r="V75" s="333"/>
      <c r="W75" s="327"/>
      <c r="X75" s="331">
        <f>Holdings!H38</f>
        <v>27.86</v>
      </c>
      <c r="Y75" s="333">
        <v>19.71</v>
      </c>
      <c r="Z75" s="332">
        <f>Holdings!I38</f>
        <v>18.350000000000001</v>
      </c>
      <c r="AA75" s="241">
        <f t="shared" si="1"/>
        <v>-0.34134960516870055</v>
      </c>
      <c r="AB75" s="356"/>
      <c r="AD75" s="312"/>
      <c r="AE75" s="296"/>
      <c r="AF75" s="312"/>
      <c r="AG75" s="295"/>
      <c r="AH75" s="346"/>
      <c r="AI75" s="312"/>
      <c r="AK75" s="356"/>
    </row>
    <row r="76" spans="2:37" x14ac:dyDescent="0.15">
      <c r="B76" s="356"/>
      <c r="C76" s="327"/>
      <c r="D76" s="494" t="str">
        <f>Holdings!C32</f>
        <v>Short S&amp;P 500</v>
      </c>
      <c r="E76" s="495"/>
      <c r="F76" s="406">
        <f>Holdings!E32</f>
        <v>42275</v>
      </c>
      <c r="G76" s="356"/>
      <c r="H76" s="356"/>
      <c r="I76" s="356"/>
      <c r="J76" s="331" t="e">
        <f>Holdings!H32</f>
        <v>#REF!</v>
      </c>
      <c r="K76" s="327"/>
      <c r="L76" s="332" t="e">
        <f>Holdings!I32</f>
        <v>#REF!</v>
      </c>
      <c r="M76" s="241" t="e">
        <f t="shared" si="0"/>
        <v>#REF!</v>
      </c>
      <c r="N76" s="356"/>
      <c r="P76" s="356"/>
      <c r="Q76" s="327"/>
      <c r="R76" s="494" t="str">
        <f>Holdings!C39</f>
        <v>Ambarella</v>
      </c>
      <c r="S76" s="495"/>
      <c r="T76" s="406">
        <f>Holdings!E39</f>
        <v>42187</v>
      </c>
      <c r="U76" s="356"/>
      <c r="V76" s="333"/>
      <c r="W76" s="327"/>
      <c r="X76" s="331">
        <f>Holdings!H39</f>
        <v>100.32</v>
      </c>
      <c r="Y76" s="333">
        <v>19.71</v>
      </c>
      <c r="Z76" s="332">
        <f>Holdings!I39</f>
        <v>50.34</v>
      </c>
      <c r="AA76" s="241">
        <f t="shared" si="1"/>
        <v>-0.49820574162679421</v>
      </c>
      <c r="AB76" s="356"/>
      <c r="AD76" s="312"/>
      <c r="AE76" s="296"/>
      <c r="AF76" s="312"/>
      <c r="AG76" s="295"/>
      <c r="AH76" s="346"/>
      <c r="AI76" s="312"/>
      <c r="AK76" s="356"/>
    </row>
    <row r="77" spans="2:37" x14ac:dyDescent="0.15">
      <c r="B77" s="356"/>
      <c r="C77" s="327"/>
      <c r="D77" s="494" t="str">
        <f>Holdings!C33</f>
        <v>Novocure</v>
      </c>
      <c r="E77" s="495"/>
      <c r="F77" s="406">
        <f>Holdings!E33</f>
        <v>42289</v>
      </c>
      <c r="G77" s="356"/>
      <c r="H77" s="356"/>
      <c r="I77" s="356"/>
      <c r="J77" s="331">
        <f>Holdings!H33</f>
        <v>23.04</v>
      </c>
      <c r="K77" s="327"/>
      <c r="L77" s="332">
        <f>Holdings!I33</f>
        <v>19.760000000000002</v>
      </c>
      <c r="M77" s="241">
        <f t="shared" si="0"/>
        <v>-0.14236111111111105</v>
      </c>
      <c r="N77" s="356"/>
      <c r="P77" s="356"/>
      <c r="Q77" s="327"/>
      <c r="R77" s="494" t="str">
        <f>Holdings!C40</f>
        <v>Netflix</v>
      </c>
      <c r="S77" s="495"/>
      <c r="T77" s="406">
        <f>Holdings!E40</f>
        <v>42250</v>
      </c>
      <c r="U77" s="356"/>
      <c r="V77" s="333"/>
      <c r="W77" s="327"/>
      <c r="X77" s="331">
        <f>Holdings!H40</f>
        <v>102.38</v>
      </c>
      <c r="Y77" s="333">
        <v>19.71</v>
      </c>
      <c r="Z77" s="332">
        <f>Holdings!I40</f>
        <v>114.56</v>
      </c>
      <c r="AA77" s="241">
        <f t="shared" si="1"/>
        <v>0.1189685485446377</v>
      </c>
      <c r="AB77" s="356"/>
      <c r="AD77" s="312"/>
      <c r="AE77" s="296"/>
      <c r="AF77" s="312"/>
      <c r="AG77" s="295"/>
      <c r="AH77" s="346"/>
      <c r="AI77" s="312"/>
      <c r="AK77" s="356"/>
    </row>
    <row r="78" spans="2:37" x14ac:dyDescent="0.15">
      <c r="B78" s="356"/>
      <c r="C78" s="327"/>
      <c r="D78" s="494"/>
      <c r="E78" s="495"/>
      <c r="F78" s="406"/>
      <c r="G78" s="356"/>
      <c r="H78" s="356"/>
      <c r="I78" s="356"/>
      <c r="J78" s="331"/>
      <c r="K78" s="327"/>
      <c r="L78" s="332"/>
      <c r="M78" s="241"/>
      <c r="N78" s="356"/>
      <c r="P78" s="356"/>
      <c r="Q78" s="327"/>
      <c r="R78" s="494" t="str">
        <f>Holdings!C41</f>
        <v>Tutor Perini</v>
      </c>
      <c r="S78" s="495"/>
      <c r="T78" s="406">
        <f>Holdings!E41</f>
        <v>42250</v>
      </c>
      <c r="U78" s="356"/>
      <c r="V78" s="333"/>
      <c r="W78" s="327"/>
      <c r="X78" s="331">
        <f>Holdings!H41</f>
        <v>16.63</v>
      </c>
      <c r="Y78" s="333">
        <v>19.71</v>
      </c>
      <c r="Z78" s="332">
        <f>Holdings!I41</f>
        <v>15.02</v>
      </c>
      <c r="AA78" s="241">
        <f t="shared" si="1"/>
        <v>-9.6812988574864672E-2</v>
      </c>
      <c r="AB78" s="356"/>
      <c r="AD78" s="312"/>
      <c r="AE78" s="296"/>
      <c r="AF78" s="312"/>
      <c r="AG78" s="295"/>
      <c r="AH78" s="346"/>
      <c r="AI78" s="312"/>
      <c r="AK78" s="356"/>
    </row>
    <row r="79" spans="2:37" x14ac:dyDescent="0.15">
      <c r="B79" s="356"/>
      <c r="C79" s="327"/>
      <c r="D79" s="476"/>
      <c r="E79" s="477"/>
      <c r="F79" s="406"/>
      <c r="G79" s="356"/>
      <c r="H79" s="356"/>
      <c r="I79" s="356"/>
      <c r="J79" s="331"/>
      <c r="K79" s="327"/>
      <c r="L79" s="332"/>
      <c r="M79" s="241"/>
      <c r="N79" s="356"/>
      <c r="P79" s="356"/>
      <c r="Q79" s="327"/>
      <c r="R79" s="494" t="str">
        <f>Holdings!C42</f>
        <v>GW Pharmaceuticals</v>
      </c>
      <c r="S79" s="495"/>
      <c r="T79" s="406">
        <f>Holdings!E42</f>
        <v>42271</v>
      </c>
      <c r="U79" s="356"/>
      <c r="V79" s="333"/>
      <c r="W79" s="327"/>
      <c r="X79" s="331">
        <f>Holdings!H42</f>
        <v>100.05</v>
      </c>
      <c r="Y79" s="333">
        <v>19.71</v>
      </c>
      <c r="Z79" s="332">
        <f>Holdings!I42</f>
        <v>61.81</v>
      </c>
      <c r="AA79" s="241">
        <f t="shared" si="1"/>
        <v>-0.38220889555222387</v>
      </c>
      <c r="AB79" s="356"/>
      <c r="AD79" s="312"/>
      <c r="AE79" s="296"/>
      <c r="AF79" s="312"/>
      <c r="AG79" s="295"/>
      <c r="AH79" s="346"/>
      <c r="AI79" s="312"/>
      <c r="AK79" s="356"/>
    </row>
    <row r="80" spans="2:37" x14ac:dyDescent="0.15">
      <c r="B80" s="356"/>
      <c r="C80" s="327"/>
      <c r="D80" s="476"/>
      <c r="E80" s="477"/>
      <c r="F80" s="406"/>
      <c r="G80" s="356"/>
      <c r="H80" s="356"/>
      <c r="I80" s="356"/>
      <c r="J80" s="331"/>
      <c r="K80" s="327"/>
      <c r="L80" s="332"/>
      <c r="M80" s="241"/>
      <c r="N80" s="356"/>
      <c r="P80" s="356"/>
      <c r="Q80" s="327"/>
      <c r="R80" s="494" t="str">
        <f>Holdings!C43</f>
        <v>Perrigo</v>
      </c>
      <c r="S80" s="495"/>
      <c r="T80" s="406">
        <f>Holdings!E43</f>
        <v>42275</v>
      </c>
      <c r="U80" s="356"/>
      <c r="V80" s="333"/>
      <c r="W80" s="327"/>
      <c r="X80" s="331">
        <f>Holdings!H43</f>
        <v>152.58000000000001</v>
      </c>
      <c r="Y80" s="333">
        <v>19.71</v>
      </c>
      <c r="Z80" s="332">
        <f>Holdings!I43</f>
        <v>144.31</v>
      </c>
      <c r="AA80" s="241">
        <f t="shared" si="1"/>
        <v>-5.4201074845982501E-2</v>
      </c>
      <c r="AB80" s="356"/>
      <c r="AD80" s="312"/>
      <c r="AE80" s="296"/>
      <c r="AF80" s="312"/>
      <c r="AG80" s="295"/>
      <c r="AH80" s="346"/>
      <c r="AI80" s="312"/>
      <c r="AK80" s="356"/>
    </row>
    <row r="81" spans="2:37" x14ac:dyDescent="0.15">
      <c r="B81" s="356"/>
      <c r="C81" s="327"/>
      <c r="D81" s="473"/>
      <c r="E81" s="474"/>
      <c r="F81" s="406"/>
      <c r="G81" s="356"/>
      <c r="H81" s="356"/>
      <c r="I81" s="356"/>
      <c r="J81" s="331"/>
      <c r="K81" s="327"/>
      <c r="L81" s="332"/>
      <c r="M81" s="241"/>
      <c r="N81" s="356"/>
      <c r="P81" s="356"/>
      <c r="Q81" s="327"/>
      <c r="R81" s="494" t="str">
        <f>Holdings!C44</f>
        <v>Natural Grocers</v>
      </c>
      <c r="S81" s="495"/>
      <c r="T81" s="406">
        <f>Holdings!E44</f>
        <v>42286</v>
      </c>
      <c r="U81" s="356"/>
      <c r="V81" s="333"/>
      <c r="W81" s="327"/>
      <c r="X81" s="331">
        <f>Holdings!H44</f>
        <v>24.9</v>
      </c>
      <c r="Y81" s="333">
        <v>19.71</v>
      </c>
      <c r="Z81" s="332">
        <f>Holdings!I44</f>
        <v>19.86</v>
      </c>
      <c r="AA81" s="241">
        <f t="shared" si="1"/>
        <v>-0.20240963855421684</v>
      </c>
      <c r="AB81" s="356"/>
      <c r="AD81" s="312"/>
      <c r="AE81" s="296"/>
      <c r="AF81" s="312"/>
      <c r="AG81" s="295"/>
      <c r="AH81" s="346"/>
      <c r="AI81" s="312"/>
      <c r="AK81" s="356"/>
    </row>
    <row r="82" spans="2:37" ht="11.25" customHeight="1" x14ac:dyDescent="0.15"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D82" s="312"/>
      <c r="AE82" s="322"/>
      <c r="AF82" s="312"/>
      <c r="AG82" s="297"/>
      <c r="AH82" s="323"/>
      <c r="AI82" s="312"/>
      <c r="AK82" s="297"/>
    </row>
    <row r="83" spans="2:37" ht="14" x14ac:dyDescent="0.15">
      <c r="B83" s="297"/>
      <c r="C83" s="499" t="s">
        <v>230</v>
      </c>
      <c r="D83" s="499"/>
      <c r="E83" s="499"/>
      <c r="F83" s="499"/>
      <c r="G83" s="499"/>
      <c r="H83" s="499"/>
      <c r="I83" s="499"/>
      <c r="J83" s="499"/>
      <c r="K83" s="297"/>
      <c r="L83" s="297"/>
      <c r="M83" s="297"/>
      <c r="N83" s="297"/>
      <c r="P83" s="297"/>
      <c r="Q83" s="499" t="s">
        <v>231</v>
      </c>
      <c r="R83" s="499"/>
      <c r="S83" s="499"/>
      <c r="T83" s="499"/>
      <c r="U83" s="499"/>
      <c r="V83" s="499"/>
      <c r="W83" s="499"/>
      <c r="X83" s="499"/>
      <c r="Y83" s="297"/>
      <c r="Z83" s="297"/>
      <c r="AA83" s="297"/>
      <c r="AB83" s="297"/>
      <c r="AD83" s="312"/>
      <c r="AE83" s="324"/>
      <c r="AF83" s="312"/>
      <c r="AG83" s="297"/>
      <c r="AH83" s="323"/>
      <c r="AI83" s="312"/>
      <c r="AK83" s="297"/>
    </row>
    <row r="84" spans="2:37" ht="3.75" customHeight="1" x14ac:dyDescent="0.15">
      <c r="B84" s="297"/>
      <c r="C84" s="32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P84" s="297"/>
      <c r="Q84" s="32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D84" s="312"/>
      <c r="AE84" s="296"/>
      <c r="AF84" s="312"/>
      <c r="AG84" s="295"/>
      <c r="AH84" s="236"/>
      <c r="AI84" s="312"/>
      <c r="AK84" s="297"/>
    </row>
    <row r="85" spans="2:37" x14ac:dyDescent="0.15">
      <c r="B85" s="297"/>
      <c r="C85" s="297"/>
      <c r="D85" s="297"/>
      <c r="E85" s="297"/>
      <c r="F85" s="328" t="s">
        <v>174</v>
      </c>
      <c r="G85" s="328"/>
      <c r="H85" s="328"/>
      <c r="I85" s="328"/>
      <c r="J85" s="328" t="s">
        <v>180</v>
      </c>
      <c r="K85" s="328"/>
      <c r="L85" s="328" t="s">
        <v>171</v>
      </c>
      <c r="M85" s="329" t="s">
        <v>181</v>
      </c>
      <c r="N85" s="297"/>
      <c r="P85" s="297"/>
      <c r="Q85" s="297"/>
      <c r="R85" s="297"/>
      <c r="S85" s="297"/>
      <c r="T85" s="328" t="s">
        <v>174</v>
      </c>
      <c r="U85" s="328"/>
      <c r="V85" s="328"/>
      <c r="W85" s="328"/>
      <c r="X85" s="328" t="s">
        <v>180</v>
      </c>
      <c r="Y85" s="328"/>
      <c r="Z85" s="328" t="s">
        <v>171</v>
      </c>
      <c r="AA85" s="329" t="s">
        <v>181</v>
      </c>
      <c r="AB85" s="297"/>
      <c r="AD85" s="297"/>
      <c r="AE85" s="326"/>
      <c r="AF85" s="297"/>
      <c r="AG85" s="313"/>
      <c r="AH85" s="252"/>
      <c r="AI85" s="312"/>
      <c r="AK85" s="297"/>
    </row>
    <row r="86" spans="2:37" x14ac:dyDescent="0.15">
      <c r="B86" s="297"/>
      <c r="C86" s="327"/>
      <c r="D86" s="497">
        <f>Holdings!$C$49</f>
        <v>0</v>
      </c>
      <c r="E86" s="498"/>
      <c r="F86" s="330">
        <f>Holdings!$E$49</f>
        <v>0</v>
      </c>
      <c r="G86" s="308"/>
      <c r="H86" s="308"/>
      <c r="I86" s="308"/>
      <c r="J86" s="331">
        <f>Holdings!$H$49</f>
        <v>0</v>
      </c>
      <c r="K86" s="333"/>
      <c r="L86" s="332">
        <f>Holdings!$I$49</f>
        <v>0</v>
      </c>
      <c r="M86" s="241" t="str">
        <f>IFERROR((L86/J86)-1,"NA")</f>
        <v>NA</v>
      </c>
      <c r="N86" s="297"/>
      <c r="P86" s="297"/>
      <c r="Q86" s="327"/>
      <c r="R86" s="497">
        <f>Holdings!C52</f>
        <v>0</v>
      </c>
      <c r="S86" s="498"/>
      <c r="T86" s="330">
        <f>Holdings!E52</f>
        <v>0</v>
      </c>
      <c r="U86" s="308"/>
      <c r="V86" s="308"/>
      <c r="W86" s="308"/>
      <c r="X86" s="332">
        <f>Holdings!H52</f>
        <v>0</v>
      </c>
      <c r="Y86" s="333"/>
      <c r="Z86" s="332">
        <f>Holdings!I52</f>
        <v>0</v>
      </c>
      <c r="AA86" s="241" t="str">
        <f>IFERROR((Z86/X86)-1,"NA")</f>
        <v>NA</v>
      </c>
      <c r="AB86" s="297"/>
      <c r="AD86" s="295"/>
      <c r="AE86" s="296"/>
      <c r="AF86" s="295"/>
      <c r="AG86" s="295"/>
      <c r="AH86" s="236"/>
      <c r="AI86" s="295"/>
      <c r="AK86" s="297"/>
    </row>
    <row r="87" spans="2:37" ht="6.75" customHeight="1" x14ac:dyDescent="0.15"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D87" s="297"/>
      <c r="AE87" s="297"/>
      <c r="AF87" s="297"/>
      <c r="AG87" s="297"/>
      <c r="AH87" s="297"/>
      <c r="AI87" s="297"/>
      <c r="AK87" s="297"/>
    </row>
    <row r="88" spans="2:37" ht="3.75" customHeight="1" x14ac:dyDescent="0.15"/>
    <row r="89" spans="2:37" ht="15" customHeight="1" x14ac:dyDescent="0.15">
      <c r="B89" s="356"/>
      <c r="C89" s="334" t="s">
        <v>224</v>
      </c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257"/>
      <c r="AG89" s="356"/>
      <c r="AH89" s="257"/>
      <c r="AI89" s="356"/>
      <c r="AK89" s="356"/>
    </row>
    <row r="90" spans="2:37" ht="15" customHeight="1" x14ac:dyDescent="0.15">
      <c r="B90" s="297"/>
      <c r="C90" s="334" t="s">
        <v>223</v>
      </c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57" t="s">
        <v>161</v>
      </c>
      <c r="AG90" s="297"/>
      <c r="AH90" s="257" t="s">
        <v>162</v>
      </c>
      <c r="AI90" s="297"/>
      <c r="AK90" s="297"/>
    </row>
  </sheetData>
  <mergeCells count="44">
    <mergeCell ref="R80:S80"/>
    <mergeCell ref="R79:S79"/>
    <mergeCell ref="J42:L42"/>
    <mergeCell ref="Q70:X70"/>
    <mergeCell ref="C14:E14"/>
    <mergeCell ref="J14:L14"/>
    <mergeCell ref="Q14:S14"/>
    <mergeCell ref="C42:E42"/>
    <mergeCell ref="C28:E28"/>
    <mergeCell ref="J56:L56"/>
    <mergeCell ref="Q42:S42"/>
    <mergeCell ref="Q28:S28"/>
    <mergeCell ref="C56:E56"/>
    <mergeCell ref="X56:Z56"/>
    <mergeCell ref="C70:J70"/>
    <mergeCell ref="Q56:S56"/>
    <mergeCell ref="J28:L28"/>
    <mergeCell ref="R76:S76"/>
    <mergeCell ref="R77:S77"/>
    <mergeCell ref="R78:S78"/>
    <mergeCell ref="AE9:AG9"/>
    <mergeCell ref="X42:Z42"/>
    <mergeCell ref="X28:Z28"/>
    <mergeCell ref="AE28:AG28"/>
    <mergeCell ref="X14:Z14"/>
    <mergeCell ref="AE42:AG42"/>
    <mergeCell ref="AE14:AG14"/>
    <mergeCell ref="AE10:AG10"/>
    <mergeCell ref="R81:S81"/>
    <mergeCell ref="AE56:AG56"/>
    <mergeCell ref="AE70:AG70"/>
    <mergeCell ref="D86:E86"/>
    <mergeCell ref="R86:S86"/>
    <mergeCell ref="Q83:X83"/>
    <mergeCell ref="C83:J83"/>
    <mergeCell ref="D73:E73"/>
    <mergeCell ref="R73:S73"/>
    <mergeCell ref="D74:E74"/>
    <mergeCell ref="R74:S74"/>
    <mergeCell ref="D75:E75"/>
    <mergeCell ref="R75:S75"/>
    <mergeCell ref="D76:E76"/>
    <mergeCell ref="D77:E77"/>
    <mergeCell ref="D78:E78"/>
  </mergeCells>
  <conditionalFormatting sqref="M86 AH86 AH84 F51 F44:F48 AA23 AA16:AA20 M23 M16:M20 M37 M30:M34 M51 M44:M48 T23 T16:T20 T37 T30:T34 T6 M6 T4 M4 F12:H12 O12 F6:H10 M8:N8 N30:N38 U30:U38 F16:F20 M26:N26 T26:U26 T39:U41 M39:N41 T13 T67:U67 AA13:AB13 AH53:AH55 AH67 N42:N52 O16:O51 N56:N65 U42:U52 V16:V51 V53:V65 AC16:AC51 AB56:AB65 AC53:AC65 M11:N12 N6:N7 O53:O65 M53:N55 M67:N67 G52 F37 T8 G16:H24 G30:H38 G44:H51 G58:H65 N16:N23 AI14:AI23 F30:F34 AH3 T53:U55 U56:U65 AB14:AB24 AA25:AB27 AB28:AB38 AA39:AB41 AA53:AB55 AB42:AB52 AA67:AB67 AH13:AI13 AH25:AH27 AH69 AH72:AH81 AH39:AH41 AA86 AA51 AA44:AA48 AA73:AA81 AA4:AA8">
    <cfRule type="cellIs" dxfId="2429" priority="6026" operator="lessThan">
      <formula>0</formula>
    </cfRule>
  </conditionalFormatting>
  <conditionalFormatting sqref="M86 AH84 F51 F44:F48 AA23 AA16:AA20 M23 M16:M20 M37 M30:M34 M51 M44:M48 T23 T16:T20 T37 T30:T34 T6 M6 T4 M4 M8 F16:F20 F37 T8 F30:F34 AH3 AH72:AH81 AA86 AA51 AA44:AA48 AA73:AA81 AA4:AA8">
    <cfRule type="cellIs" dxfId="2428" priority="6025" operator="greaterThan">
      <formula>0</formula>
    </cfRule>
  </conditionalFormatting>
  <conditionalFormatting sqref="M86 AH84 F51 F44:F48 AA23 AA16:AA20 M23 M16:M20 M37 M30:M34 M51 M44:M48 T23 T16:T20 T37 T30:T34 T6 M6 M4 M8 F37 T8 F30:F34 AH3 T3:T4 AH72:AH81 AA86 AA51 AA44:AA48 AA73:AA81 AA4:AA8">
    <cfRule type="cellIs" dxfId="2427" priority="6024" operator="greaterThan">
      <formula>0</formula>
    </cfRule>
  </conditionalFormatting>
  <conditionalFormatting sqref="AE83 C50 C22:C23 C36:C37 J50:J51 J22:J23 J36:J37 Q22:Q23 Q36:Q37 X22:X23 X50:X51">
    <cfRule type="cellIs" dxfId="2426" priority="6023" operator="equal">
      <formula>"""Large"""</formula>
    </cfRule>
  </conditionalFormatting>
  <conditionalFormatting sqref="AE82 C21 C35 C49 J21 J35 J49 Q21 Q35 X21 X49">
    <cfRule type="containsText" dxfId="2425" priority="6022" operator="containsText" text="NA">
      <formula>NOT(ISERROR(SEARCH("NA",C21)))</formula>
    </cfRule>
  </conditionalFormatting>
  <conditionalFormatting sqref="AH4">
    <cfRule type="cellIs" dxfId="2424" priority="5971" operator="lessThan">
      <formula>0</formula>
    </cfRule>
  </conditionalFormatting>
  <conditionalFormatting sqref="AH4">
    <cfRule type="cellIs" dxfId="2423" priority="5970" operator="greaterThan">
      <formula>0</formula>
    </cfRule>
  </conditionalFormatting>
  <conditionalFormatting sqref="AH4">
    <cfRule type="cellIs" dxfId="2422" priority="5969" operator="greaterThan">
      <formula>0</formula>
    </cfRule>
  </conditionalFormatting>
  <conditionalFormatting sqref="C21">
    <cfRule type="containsText" dxfId="2421" priority="5966" operator="containsText" text="Small">
      <formula>NOT(ISERROR(SEARCH("Small",C21)))</formula>
    </cfRule>
    <cfRule type="containsText" dxfId="2420" priority="5967" operator="containsText" text="Mid">
      <formula>NOT(ISERROR(SEARCH("Mid",C21)))</formula>
    </cfRule>
    <cfRule type="containsText" dxfId="2419" priority="5968" operator="containsText" text="Large">
      <formula>NOT(ISERROR(SEARCH("Large",C21)))</formula>
    </cfRule>
  </conditionalFormatting>
  <conditionalFormatting sqref="C35">
    <cfRule type="containsText" dxfId="2418" priority="5963" operator="containsText" text="Small">
      <formula>NOT(ISERROR(SEARCH("Small",C35)))</formula>
    </cfRule>
    <cfRule type="containsText" dxfId="2417" priority="5964" operator="containsText" text="Mid">
      <formula>NOT(ISERROR(SEARCH("Mid",C35)))</formula>
    </cfRule>
    <cfRule type="containsText" dxfId="2416" priority="5965" operator="containsText" text="Large">
      <formula>NOT(ISERROR(SEARCH("Large",C35)))</formula>
    </cfRule>
  </conditionalFormatting>
  <conditionalFormatting sqref="C35">
    <cfRule type="containsText" dxfId="2415" priority="5957" operator="containsText" text="Small">
      <formula>NOT(ISERROR(SEARCH("Small",C35)))</formula>
    </cfRule>
    <cfRule type="containsText" dxfId="2414" priority="5958" operator="containsText" text="Mid">
      <formula>NOT(ISERROR(SEARCH("Mid",C35)))</formula>
    </cfRule>
    <cfRule type="containsText" dxfId="2413" priority="5959" operator="containsText" text="Large">
      <formula>NOT(ISERROR(SEARCH("Large",C35)))</formula>
    </cfRule>
  </conditionalFormatting>
  <conditionalFormatting sqref="C49">
    <cfRule type="containsText" dxfId="2412" priority="5948" operator="containsText" text="Small">
      <formula>NOT(ISERROR(SEARCH("Small",C49)))</formula>
    </cfRule>
    <cfRule type="containsText" dxfId="2411" priority="5949" operator="containsText" text="Mid">
      <formula>NOT(ISERROR(SEARCH("Mid",C49)))</formula>
    </cfRule>
    <cfRule type="containsText" dxfId="2410" priority="5950" operator="containsText" text="Large">
      <formula>NOT(ISERROR(SEARCH("Large",C49)))</formula>
    </cfRule>
  </conditionalFormatting>
  <conditionalFormatting sqref="C49">
    <cfRule type="containsText" dxfId="2409" priority="5945" operator="containsText" text="Small">
      <formula>NOT(ISERROR(SEARCH("Small",C49)))</formula>
    </cfRule>
    <cfRule type="containsText" dxfId="2408" priority="5946" operator="containsText" text="Mid">
      <formula>NOT(ISERROR(SEARCH("Mid",C49)))</formula>
    </cfRule>
    <cfRule type="containsText" dxfId="2407" priority="5947" operator="containsText" text="Large">
      <formula>NOT(ISERROR(SEARCH("Large",C49)))</formula>
    </cfRule>
  </conditionalFormatting>
  <conditionalFormatting sqref="C49">
    <cfRule type="containsText" dxfId="2406" priority="5942" operator="containsText" text="Small">
      <formula>NOT(ISERROR(SEARCH("Small",C49)))</formula>
    </cfRule>
    <cfRule type="containsText" dxfId="2405" priority="5943" operator="containsText" text="Mid">
      <formula>NOT(ISERROR(SEARCH("Mid",C49)))</formula>
    </cfRule>
    <cfRule type="containsText" dxfId="2404" priority="5944" operator="containsText" text="Large">
      <formula>NOT(ISERROR(SEARCH("Large",C49)))</formula>
    </cfRule>
  </conditionalFormatting>
  <conditionalFormatting sqref="J21">
    <cfRule type="containsText" dxfId="2403" priority="5939" operator="containsText" text="Small">
      <formula>NOT(ISERROR(SEARCH("Small",J21)))</formula>
    </cfRule>
    <cfRule type="containsText" dxfId="2402" priority="5940" operator="containsText" text="Mid">
      <formula>NOT(ISERROR(SEARCH("Mid",J21)))</formula>
    </cfRule>
    <cfRule type="containsText" dxfId="2401" priority="5941" operator="containsText" text="Large">
      <formula>NOT(ISERROR(SEARCH("Large",J21)))</formula>
    </cfRule>
  </conditionalFormatting>
  <conditionalFormatting sqref="J21">
    <cfRule type="containsText" dxfId="2400" priority="5936" operator="containsText" text="Small">
      <formula>NOT(ISERROR(SEARCH("Small",J21)))</formula>
    </cfRule>
    <cfRule type="containsText" dxfId="2399" priority="5937" operator="containsText" text="Mid">
      <formula>NOT(ISERROR(SEARCH("Mid",J21)))</formula>
    </cfRule>
    <cfRule type="containsText" dxfId="2398" priority="5938" operator="containsText" text="Large">
      <formula>NOT(ISERROR(SEARCH("Large",J21)))</formula>
    </cfRule>
  </conditionalFormatting>
  <conditionalFormatting sqref="J21">
    <cfRule type="containsText" dxfId="2397" priority="5933" operator="containsText" text="Small">
      <formula>NOT(ISERROR(SEARCH("Small",J21)))</formula>
    </cfRule>
    <cfRule type="containsText" dxfId="2396" priority="5934" operator="containsText" text="Mid">
      <formula>NOT(ISERROR(SEARCH("Mid",J21)))</formula>
    </cfRule>
    <cfRule type="containsText" dxfId="2395" priority="5935" operator="containsText" text="Large">
      <formula>NOT(ISERROR(SEARCH("Large",J21)))</formula>
    </cfRule>
  </conditionalFormatting>
  <conditionalFormatting sqref="J35">
    <cfRule type="containsText" dxfId="2394" priority="5930" operator="containsText" text="Small">
      <formula>NOT(ISERROR(SEARCH("Small",J35)))</formula>
    </cfRule>
    <cfRule type="containsText" dxfId="2393" priority="5931" operator="containsText" text="Mid">
      <formula>NOT(ISERROR(SEARCH("Mid",J35)))</formula>
    </cfRule>
    <cfRule type="containsText" dxfId="2392" priority="5932" operator="containsText" text="Large">
      <formula>NOT(ISERROR(SEARCH("Large",J35)))</formula>
    </cfRule>
  </conditionalFormatting>
  <conditionalFormatting sqref="J35">
    <cfRule type="containsText" dxfId="2391" priority="5927" operator="containsText" text="Small">
      <formula>NOT(ISERROR(SEARCH("Small",J35)))</formula>
    </cfRule>
    <cfRule type="containsText" dxfId="2390" priority="5928" operator="containsText" text="Mid">
      <formula>NOT(ISERROR(SEARCH("Mid",J35)))</formula>
    </cfRule>
    <cfRule type="containsText" dxfId="2389" priority="5929" operator="containsText" text="Large">
      <formula>NOT(ISERROR(SEARCH("Large",J35)))</formula>
    </cfRule>
  </conditionalFormatting>
  <conditionalFormatting sqref="J35">
    <cfRule type="containsText" dxfId="2388" priority="5924" operator="containsText" text="Small">
      <formula>NOT(ISERROR(SEARCH("Small",J35)))</formula>
    </cfRule>
    <cfRule type="containsText" dxfId="2387" priority="5925" operator="containsText" text="Mid">
      <formula>NOT(ISERROR(SEARCH("Mid",J35)))</formula>
    </cfRule>
    <cfRule type="containsText" dxfId="2386" priority="5926" operator="containsText" text="Large">
      <formula>NOT(ISERROR(SEARCH("Large",J35)))</formula>
    </cfRule>
  </conditionalFormatting>
  <conditionalFormatting sqref="J49">
    <cfRule type="containsText" dxfId="2385" priority="5921" operator="containsText" text="Small">
      <formula>NOT(ISERROR(SEARCH("Small",J49)))</formula>
    </cfRule>
    <cfRule type="containsText" dxfId="2384" priority="5922" operator="containsText" text="Mid">
      <formula>NOT(ISERROR(SEARCH("Mid",J49)))</formula>
    </cfRule>
    <cfRule type="containsText" dxfId="2383" priority="5923" operator="containsText" text="Large">
      <formula>NOT(ISERROR(SEARCH("Large",J49)))</formula>
    </cfRule>
  </conditionalFormatting>
  <conditionalFormatting sqref="J49">
    <cfRule type="containsText" dxfId="2382" priority="5918" operator="containsText" text="Small">
      <formula>NOT(ISERROR(SEARCH("Small",J49)))</formula>
    </cfRule>
    <cfRule type="containsText" dxfId="2381" priority="5919" operator="containsText" text="Mid">
      <formula>NOT(ISERROR(SEARCH("Mid",J49)))</formula>
    </cfRule>
    <cfRule type="containsText" dxfId="2380" priority="5920" operator="containsText" text="Large">
      <formula>NOT(ISERROR(SEARCH("Large",J49)))</formula>
    </cfRule>
  </conditionalFormatting>
  <conditionalFormatting sqref="J49">
    <cfRule type="containsText" dxfId="2379" priority="5915" operator="containsText" text="Small">
      <formula>NOT(ISERROR(SEARCH("Small",J49)))</formula>
    </cfRule>
    <cfRule type="containsText" dxfId="2378" priority="5916" operator="containsText" text="Mid">
      <formula>NOT(ISERROR(SEARCH("Mid",J49)))</formula>
    </cfRule>
    <cfRule type="containsText" dxfId="2377" priority="5917" operator="containsText" text="Large">
      <formula>NOT(ISERROR(SEARCH("Large",J49)))</formula>
    </cfRule>
  </conditionalFormatting>
  <conditionalFormatting sqref="Q21">
    <cfRule type="containsText" dxfId="2376" priority="5903" operator="containsText" text="Small">
      <formula>NOT(ISERROR(SEARCH("Small",Q21)))</formula>
    </cfRule>
    <cfRule type="containsText" dxfId="2375" priority="5904" operator="containsText" text="Mid">
      <formula>NOT(ISERROR(SEARCH("Mid",Q21)))</formula>
    </cfRule>
    <cfRule type="containsText" dxfId="2374" priority="5905" operator="containsText" text="Large">
      <formula>NOT(ISERROR(SEARCH("Large",Q21)))</formula>
    </cfRule>
  </conditionalFormatting>
  <conditionalFormatting sqref="Q21">
    <cfRule type="containsText" dxfId="2373" priority="5900" operator="containsText" text="Small">
      <formula>NOT(ISERROR(SEARCH("Small",Q21)))</formula>
    </cfRule>
    <cfRule type="containsText" dxfId="2372" priority="5901" operator="containsText" text="Mid">
      <formula>NOT(ISERROR(SEARCH("Mid",Q21)))</formula>
    </cfRule>
    <cfRule type="containsText" dxfId="2371" priority="5902" operator="containsText" text="Large">
      <formula>NOT(ISERROR(SEARCH("Large",Q21)))</formula>
    </cfRule>
  </conditionalFormatting>
  <conditionalFormatting sqref="Q21">
    <cfRule type="containsText" dxfId="2370" priority="5897" operator="containsText" text="Small">
      <formula>NOT(ISERROR(SEARCH("Small",Q21)))</formula>
    </cfRule>
    <cfRule type="containsText" dxfId="2369" priority="5898" operator="containsText" text="Mid">
      <formula>NOT(ISERROR(SEARCH("Mid",Q21)))</formula>
    </cfRule>
    <cfRule type="containsText" dxfId="2368" priority="5899" operator="containsText" text="Large">
      <formula>NOT(ISERROR(SEARCH("Large",Q21)))</formula>
    </cfRule>
  </conditionalFormatting>
  <conditionalFormatting sqref="Q35">
    <cfRule type="containsText" dxfId="2367" priority="5894" operator="containsText" text="Small">
      <formula>NOT(ISERROR(SEARCH("Small",Q35)))</formula>
    </cfRule>
    <cfRule type="containsText" dxfId="2366" priority="5895" operator="containsText" text="Mid">
      <formula>NOT(ISERROR(SEARCH("Mid",Q35)))</formula>
    </cfRule>
    <cfRule type="containsText" dxfId="2365" priority="5896" operator="containsText" text="Large">
      <formula>NOT(ISERROR(SEARCH("Large",Q35)))</formula>
    </cfRule>
  </conditionalFormatting>
  <conditionalFormatting sqref="Q35">
    <cfRule type="containsText" dxfId="2364" priority="5891" operator="containsText" text="Small">
      <formula>NOT(ISERROR(SEARCH("Small",Q35)))</formula>
    </cfRule>
    <cfRule type="containsText" dxfId="2363" priority="5892" operator="containsText" text="Mid">
      <formula>NOT(ISERROR(SEARCH("Mid",Q35)))</formula>
    </cfRule>
    <cfRule type="containsText" dxfId="2362" priority="5893" operator="containsText" text="Large">
      <formula>NOT(ISERROR(SEARCH("Large",Q35)))</formula>
    </cfRule>
  </conditionalFormatting>
  <conditionalFormatting sqref="Q35">
    <cfRule type="containsText" dxfId="2361" priority="5888" operator="containsText" text="Small">
      <formula>NOT(ISERROR(SEARCH("Small",Q35)))</formula>
    </cfRule>
    <cfRule type="containsText" dxfId="2360" priority="5889" operator="containsText" text="Mid">
      <formula>NOT(ISERROR(SEARCH("Mid",Q35)))</formula>
    </cfRule>
    <cfRule type="containsText" dxfId="2359" priority="5890" operator="containsText" text="Large">
      <formula>NOT(ISERROR(SEARCH("Large",Q35)))</formula>
    </cfRule>
  </conditionalFormatting>
  <conditionalFormatting sqref="X21">
    <cfRule type="containsText" dxfId="2358" priority="5868" operator="containsText" text="No Cap">
      <formula>NOT(ISERROR(SEARCH("No Cap",X21)))</formula>
    </cfRule>
  </conditionalFormatting>
  <conditionalFormatting sqref="X21">
    <cfRule type="containsText" dxfId="2357" priority="5867" operator="containsText" text="No Cap">
      <formula>NOT(ISERROR(SEARCH("No Cap",X21)))</formula>
    </cfRule>
  </conditionalFormatting>
  <conditionalFormatting sqref="X21">
    <cfRule type="containsText" dxfId="2356" priority="5864" operator="containsText" text="Small">
      <formula>NOT(ISERROR(SEARCH("Small",X21)))</formula>
    </cfRule>
    <cfRule type="containsText" dxfId="2355" priority="5865" operator="containsText" text="Mid">
      <formula>NOT(ISERROR(SEARCH("Mid",X21)))</formula>
    </cfRule>
    <cfRule type="containsText" dxfId="2354" priority="5866" operator="containsText" text="Large">
      <formula>NOT(ISERROR(SEARCH("Large",X21)))</formula>
    </cfRule>
  </conditionalFormatting>
  <conditionalFormatting sqref="X21">
    <cfRule type="containsText" dxfId="2353" priority="5861" operator="containsText" text="Small">
      <formula>NOT(ISERROR(SEARCH("Small",X21)))</formula>
    </cfRule>
    <cfRule type="containsText" dxfId="2352" priority="5862" operator="containsText" text="Mid">
      <formula>NOT(ISERROR(SEARCH("Mid",X21)))</formula>
    </cfRule>
    <cfRule type="containsText" dxfId="2351" priority="5863" operator="containsText" text="Large">
      <formula>NOT(ISERROR(SEARCH("Large",X21)))</formula>
    </cfRule>
  </conditionalFormatting>
  <conditionalFormatting sqref="X21">
    <cfRule type="containsText" dxfId="2350" priority="5858" operator="containsText" text="Small">
      <formula>NOT(ISERROR(SEARCH("Small",X21)))</formula>
    </cfRule>
    <cfRule type="containsText" dxfId="2349" priority="5859" operator="containsText" text="Mid">
      <formula>NOT(ISERROR(SEARCH("Mid",X21)))</formula>
    </cfRule>
    <cfRule type="containsText" dxfId="2348" priority="5860" operator="containsText" text="Large">
      <formula>NOT(ISERROR(SEARCH("Large",X21)))</formula>
    </cfRule>
  </conditionalFormatting>
  <conditionalFormatting sqref="X49">
    <cfRule type="containsText" dxfId="2347" priority="5846" operator="containsText" text="No Cap">
      <formula>NOT(ISERROR(SEARCH("No Cap",X49)))</formula>
    </cfRule>
  </conditionalFormatting>
  <conditionalFormatting sqref="X49">
    <cfRule type="containsText" dxfId="2346" priority="5845" operator="containsText" text="No Cap">
      <formula>NOT(ISERROR(SEARCH("No Cap",X49)))</formula>
    </cfRule>
  </conditionalFormatting>
  <conditionalFormatting sqref="X49">
    <cfRule type="containsText" dxfId="2345" priority="5842" operator="containsText" text="Small">
      <formula>NOT(ISERROR(SEARCH("Small",X49)))</formula>
    </cfRule>
    <cfRule type="containsText" dxfId="2344" priority="5843" operator="containsText" text="Mid">
      <formula>NOT(ISERROR(SEARCH("Mid",X49)))</formula>
    </cfRule>
    <cfRule type="containsText" dxfId="2343" priority="5844" operator="containsText" text="Large">
      <formula>NOT(ISERROR(SEARCH("Large",X49)))</formula>
    </cfRule>
  </conditionalFormatting>
  <conditionalFormatting sqref="X49">
    <cfRule type="containsText" dxfId="2342" priority="5839" operator="containsText" text="Small">
      <formula>NOT(ISERROR(SEARCH("Small",X49)))</formula>
    </cfRule>
    <cfRule type="containsText" dxfId="2341" priority="5840" operator="containsText" text="Mid">
      <formula>NOT(ISERROR(SEARCH("Mid",X49)))</formula>
    </cfRule>
    <cfRule type="containsText" dxfId="2340" priority="5841" operator="containsText" text="Large">
      <formula>NOT(ISERROR(SEARCH("Large",X49)))</formula>
    </cfRule>
  </conditionalFormatting>
  <conditionalFormatting sqref="X49">
    <cfRule type="containsText" dxfId="2339" priority="5836" operator="containsText" text="Small">
      <formula>NOT(ISERROR(SEARCH("Small",X49)))</formula>
    </cfRule>
    <cfRule type="containsText" dxfId="2338" priority="5837" operator="containsText" text="Mid">
      <formula>NOT(ISERROR(SEARCH("Mid",X49)))</formula>
    </cfRule>
    <cfRule type="containsText" dxfId="2337" priority="5838" operator="containsText" text="Large">
      <formula>NOT(ISERROR(SEARCH("Large",X49)))</formula>
    </cfRule>
  </conditionalFormatting>
  <conditionalFormatting sqref="C35">
    <cfRule type="containsText" dxfId="2336" priority="5811" operator="containsText" text="Small">
      <formula>NOT(ISERROR(SEARCH("Small",C35)))</formula>
    </cfRule>
    <cfRule type="containsText" dxfId="2335" priority="5812" operator="containsText" text="Mid">
      <formula>NOT(ISERROR(SEARCH("Mid",C35)))</formula>
    </cfRule>
    <cfRule type="containsText" dxfId="2334" priority="5813" operator="containsText" text="Large">
      <formula>NOT(ISERROR(SEARCH("Large",C35)))</formula>
    </cfRule>
  </conditionalFormatting>
  <conditionalFormatting sqref="C49">
    <cfRule type="containsText" dxfId="2333" priority="5799" operator="containsText" text="Small">
      <formula>NOT(ISERROR(SEARCH("Small",C49)))</formula>
    </cfRule>
    <cfRule type="containsText" dxfId="2332" priority="5800" operator="containsText" text="Mid">
      <formula>NOT(ISERROR(SEARCH("Mid",C49)))</formula>
    </cfRule>
    <cfRule type="containsText" dxfId="2331" priority="5801" operator="containsText" text="Large">
      <formula>NOT(ISERROR(SEARCH("Large",C49)))</formula>
    </cfRule>
  </conditionalFormatting>
  <conditionalFormatting sqref="C49">
    <cfRule type="containsText" dxfId="2330" priority="5796" operator="containsText" text="Small">
      <formula>NOT(ISERROR(SEARCH("Small",C49)))</formula>
    </cfRule>
    <cfRule type="containsText" dxfId="2329" priority="5797" operator="containsText" text="Mid">
      <formula>NOT(ISERROR(SEARCH("Mid",C49)))</formula>
    </cfRule>
    <cfRule type="containsText" dxfId="2328" priority="5798" operator="containsText" text="Large">
      <formula>NOT(ISERROR(SEARCH("Large",C49)))</formula>
    </cfRule>
  </conditionalFormatting>
  <conditionalFormatting sqref="C49">
    <cfRule type="containsText" dxfId="2327" priority="5793" operator="containsText" text="Small">
      <formula>NOT(ISERROR(SEARCH("Small",C49)))</formula>
    </cfRule>
    <cfRule type="containsText" dxfId="2326" priority="5794" operator="containsText" text="Mid">
      <formula>NOT(ISERROR(SEARCH("Mid",C49)))</formula>
    </cfRule>
    <cfRule type="containsText" dxfId="2325" priority="5795" operator="containsText" text="Large">
      <formula>NOT(ISERROR(SEARCH("Large",C49)))</formula>
    </cfRule>
  </conditionalFormatting>
  <conditionalFormatting sqref="C49">
    <cfRule type="containsText" dxfId="2324" priority="5790" operator="containsText" text="Small">
      <formula>NOT(ISERROR(SEARCH("Small",C49)))</formula>
    </cfRule>
    <cfRule type="containsText" dxfId="2323" priority="5791" operator="containsText" text="Mid">
      <formula>NOT(ISERROR(SEARCH("Mid",C49)))</formula>
    </cfRule>
    <cfRule type="containsText" dxfId="2322" priority="5792" operator="containsText" text="Large">
      <formula>NOT(ISERROR(SEARCH("Large",C49)))</formula>
    </cfRule>
  </conditionalFormatting>
  <conditionalFormatting sqref="C49">
    <cfRule type="containsText" dxfId="2321" priority="5787" operator="containsText" text="Small">
      <formula>NOT(ISERROR(SEARCH("Small",C49)))</formula>
    </cfRule>
    <cfRule type="containsText" dxfId="2320" priority="5788" operator="containsText" text="Mid">
      <formula>NOT(ISERROR(SEARCH("Mid",C49)))</formula>
    </cfRule>
    <cfRule type="containsText" dxfId="2319" priority="5789" operator="containsText" text="Large">
      <formula>NOT(ISERROR(SEARCH("Large",C49)))</formula>
    </cfRule>
  </conditionalFormatting>
  <conditionalFormatting sqref="C49">
    <cfRule type="containsText" dxfId="2318" priority="5784" operator="containsText" text="Small">
      <formula>NOT(ISERROR(SEARCH("Small",C49)))</formula>
    </cfRule>
    <cfRule type="containsText" dxfId="2317" priority="5785" operator="containsText" text="Mid">
      <formula>NOT(ISERROR(SEARCH("Mid",C49)))</formula>
    </cfRule>
    <cfRule type="containsText" dxfId="2316" priority="5786" operator="containsText" text="Large">
      <formula>NOT(ISERROR(SEARCH("Large",C49)))</formula>
    </cfRule>
  </conditionalFormatting>
  <conditionalFormatting sqref="J35">
    <cfRule type="containsText" dxfId="2315" priority="5754" operator="containsText" text="Small">
      <formula>NOT(ISERROR(SEARCH("Small",J35)))</formula>
    </cfRule>
    <cfRule type="containsText" dxfId="2314" priority="5755" operator="containsText" text="Mid">
      <formula>NOT(ISERROR(SEARCH("Mid",J35)))</formula>
    </cfRule>
    <cfRule type="containsText" dxfId="2313" priority="5756" operator="containsText" text="Large">
      <formula>NOT(ISERROR(SEARCH("Large",J35)))</formula>
    </cfRule>
  </conditionalFormatting>
  <conditionalFormatting sqref="J35">
    <cfRule type="containsText" dxfId="2312" priority="5751" operator="containsText" text="Small">
      <formula>NOT(ISERROR(SEARCH("Small",J35)))</formula>
    </cfRule>
    <cfRule type="containsText" dxfId="2311" priority="5752" operator="containsText" text="Mid">
      <formula>NOT(ISERROR(SEARCH("Mid",J35)))</formula>
    </cfRule>
    <cfRule type="containsText" dxfId="2310" priority="5753" operator="containsText" text="Large">
      <formula>NOT(ISERROR(SEARCH("Large",J35)))</formula>
    </cfRule>
  </conditionalFormatting>
  <conditionalFormatting sqref="J35">
    <cfRule type="containsText" dxfId="2309" priority="5748" operator="containsText" text="Small">
      <formula>NOT(ISERROR(SEARCH("Small",J35)))</formula>
    </cfRule>
    <cfRule type="containsText" dxfId="2308" priority="5749" operator="containsText" text="Mid">
      <formula>NOT(ISERROR(SEARCH("Mid",J35)))</formula>
    </cfRule>
    <cfRule type="containsText" dxfId="2307" priority="5750" operator="containsText" text="Large">
      <formula>NOT(ISERROR(SEARCH("Large",J35)))</formula>
    </cfRule>
  </conditionalFormatting>
  <conditionalFormatting sqref="J35">
    <cfRule type="containsText" dxfId="2306" priority="5745" operator="containsText" text="Small">
      <formula>NOT(ISERROR(SEARCH("Small",J35)))</formula>
    </cfRule>
    <cfRule type="containsText" dxfId="2305" priority="5746" operator="containsText" text="Mid">
      <formula>NOT(ISERROR(SEARCH("Mid",J35)))</formula>
    </cfRule>
    <cfRule type="containsText" dxfId="2304" priority="5747" operator="containsText" text="Large">
      <formula>NOT(ISERROR(SEARCH("Large",J35)))</formula>
    </cfRule>
  </conditionalFormatting>
  <conditionalFormatting sqref="J35">
    <cfRule type="containsText" dxfId="2303" priority="5742" operator="containsText" text="Small">
      <formula>NOT(ISERROR(SEARCH("Small",J35)))</formula>
    </cfRule>
    <cfRule type="containsText" dxfId="2302" priority="5743" operator="containsText" text="Mid">
      <formula>NOT(ISERROR(SEARCH("Mid",J35)))</formula>
    </cfRule>
    <cfRule type="containsText" dxfId="2301" priority="5744" operator="containsText" text="Large">
      <formula>NOT(ISERROR(SEARCH("Large",J35)))</formula>
    </cfRule>
  </conditionalFormatting>
  <conditionalFormatting sqref="J35">
    <cfRule type="containsText" dxfId="2300" priority="5739" operator="containsText" text="Small">
      <formula>NOT(ISERROR(SEARCH("Small",J35)))</formula>
    </cfRule>
    <cfRule type="containsText" dxfId="2299" priority="5740" operator="containsText" text="Mid">
      <formula>NOT(ISERROR(SEARCH("Mid",J35)))</formula>
    </cfRule>
    <cfRule type="containsText" dxfId="2298" priority="5741" operator="containsText" text="Large">
      <formula>NOT(ISERROR(SEARCH("Large",J35)))</formula>
    </cfRule>
  </conditionalFormatting>
  <conditionalFormatting sqref="J35">
    <cfRule type="containsText" dxfId="2297" priority="5736" operator="containsText" text="Small">
      <formula>NOT(ISERROR(SEARCH("Small",J35)))</formula>
    </cfRule>
    <cfRule type="containsText" dxfId="2296" priority="5737" operator="containsText" text="Mid">
      <formula>NOT(ISERROR(SEARCH("Mid",J35)))</formula>
    </cfRule>
    <cfRule type="containsText" dxfId="2295" priority="5738" operator="containsText" text="Large">
      <formula>NOT(ISERROR(SEARCH("Large",J35)))</formula>
    </cfRule>
  </conditionalFormatting>
  <conditionalFormatting sqref="J35">
    <cfRule type="containsText" dxfId="2294" priority="5733" operator="containsText" text="Small">
      <formula>NOT(ISERROR(SEARCH("Small",J35)))</formula>
    </cfRule>
    <cfRule type="containsText" dxfId="2293" priority="5734" operator="containsText" text="Mid">
      <formula>NOT(ISERROR(SEARCH("Mid",J35)))</formula>
    </cfRule>
    <cfRule type="containsText" dxfId="2292" priority="5735" operator="containsText" text="Large">
      <formula>NOT(ISERROR(SEARCH("Large",J35)))</formula>
    </cfRule>
  </conditionalFormatting>
  <conditionalFormatting sqref="J35">
    <cfRule type="containsText" dxfId="2291" priority="5730" operator="containsText" text="Small">
      <formula>NOT(ISERROR(SEARCH("Small",J35)))</formula>
    </cfRule>
    <cfRule type="containsText" dxfId="2290" priority="5731" operator="containsText" text="Mid">
      <formula>NOT(ISERROR(SEARCH("Mid",J35)))</formula>
    </cfRule>
    <cfRule type="containsText" dxfId="2289" priority="5732" operator="containsText" text="Large">
      <formula>NOT(ISERROR(SEARCH("Large",J35)))</formula>
    </cfRule>
  </conditionalFormatting>
  <conditionalFormatting sqref="J35">
    <cfRule type="containsText" dxfId="2288" priority="5727" operator="containsText" text="Small">
      <formula>NOT(ISERROR(SEARCH("Small",J35)))</formula>
    </cfRule>
    <cfRule type="containsText" dxfId="2287" priority="5728" operator="containsText" text="Mid">
      <formula>NOT(ISERROR(SEARCH("Mid",J35)))</formula>
    </cfRule>
    <cfRule type="containsText" dxfId="2286" priority="5729" operator="containsText" text="Large">
      <formula>NOT(ISERROR(SEARCH("Large",J35)))</formula>
    </cfRule>
  </conditionalFormatting>
  <conditionalFormatting sqref="J35">
    <cfRule type="containsText" dxfId="2285" priority="5724" operator="containsText" text="Small">
      <formula>NOT(ISERROR(SEARCH("Small",J35)))</formula>
    </cfRule>
    <cfRule type="containsText" dxfId="2284" priority="5725" operator="containsText" text="Mid">
      <formula>NOT(ISERROR(SEARCH("Mid",J35)))</formula>
    </cfRule>
    <cfRule type="containsText" dxfId="2283" priority="5726" operator="containsText" text="Large">
      <formula>NOT(ISERROR(SEARCH("Large",J35)))</formula>
    </cfRule>
  </conditionalFormatting>
  <conditionalFormatting sqref="J35">
    <cfRule type="containsText" dxfId="2282" priority="5721" operator="containsText" text="Small">
      <formula>NOT(ISERROR(SEARCH("Small",J35)))</formula>
    </cfRule>
    <cfRule type="containsText" dxfId="2281" priority="5722" operator="containsText" text="Mid">
      <formula>NOT(ISERROR(SEARCH("Mid",J35)))</formula>
    </cfRule>
    <cfRule type="containsText" dxfId="2280" priority="5723" operator="containsText" text="Large">
      <formula>NOT(ISERROR(SEARCH("Large",J35)))</formula>
    </cfRule>
  </conditionalFormatting>
  <conditionalFormatting sqref="J21">
    <cfRule type="containsText" dxfId="2279" priority="5718" operator="containsText" text="Small">
      <formula>NOT(ISERROR(SEARCH("Small",J21)))</formula>
    </cfRule>
    <cfRule type="containsText" dxfId="2278" priority="5719" operator="containsText" text="Mid">
      <formula>NOT(ISERROR(SEARCH("Mid",J21)))</formula>
    </cfRule>
    <cfRule type="containsText" dxfId="2277" priority="5720" operator="containsText" text="Large">
      <formula>NOT(ISERROR(SEARCH("Large",J21)))</formula>
    </cfRule>
  </conditionalFormatting>
  <conditionalFormatting sqref="J21">
    <cfRule type="containsText" dxfId="2276" priority="5715" operator="containsText" text="Small">
      <formula>NOT(ISERROR(SEARCH("Small",J21)))</formula>
    </cfRule>
    <cfRule type="containsText" dxfId="2275" priority="5716" operator="containsText" text="Mid">
      <formula>NOT(ISERROR(SEARCH("Mid",J21)))</formula>
    </cfRule>
    <cfRule type="containsText" dxfId="2274" priority="5717" operator="containsText" text="Large">
      <formula>NOT(ISERROR(SEARCH("Large",J21)))</formula>
    </cfRule>
  </conditionalFormatting>
  <conditionalFormatting sqref="J21">
    <cfRule type="containsText" dxfId="2273" priority="5712" operator="containsText" text="Small">
      <formula>NOT(ISERROR(SEARCH("Small",J21)))</formula>
    </cfRule>
    <cfRule type="containsText" dxfId="2272" priority="5713" operator="containsText" text="Mid">
      <formula>NOT(ISERROR(SEARCH("Mid",J21)))</formula>
    </cfRule>
    <cfRule type="containsText" dxfId="2271" priority="5714" operator="containsText" text="Large">
      <formula>NOT(ISERROR(SEARCH("Large",J21)))</formula>
    </cfRule>
  </conditionalFormatting>
  <conditionalFormatting sqref="J21">
    <cfRule type="containsText" dxfId="2270" priority="5709" operator="containsText" text="Small">
      <formula>NOT(ISERROR(SEARCH("Small",J21)))</formula>
    </cfRule>
    <cfRule type="containsText" dxfId="2269" priority="5710" operator="containsText" text="Mid">
      <formula>NOT(ISERROR(SEARCH("Mid",J21)))</formula>
    </cfRule>
    <cfRule type="containsText" dxfId="2268" priority="5711" operator="containsText" text="Large">
      <formula>NOT(ISERROR(SEARCH("Large",J21)))</formula>
    </cfRule>
  </conditionalFormatting>
  <conditionalFormatting sqref="J21">
    <cfRule type="containsText" dxfId="2267" priority="5706" operator="containsText" text="Small">
      <formula>NOT(ISERROR(SEARCH("Small",J21)))</formula>
    </cfRule>
    <cfRule type="containsText" dxfId="2266" priority="5707" operator="containsText" text="Mid">
      <formula>NOT(ISERROR(SEARCH("Mid",J21)))</formula>
    </cfRule>
    <cfRule type="containsText" dxfId="2265" priority="5708" operator="containsText" text="Large">
      <formula>NOT(ISERROR(SEARCH("Large",J21)))</formula>
    </cfRule>
  </conditionalFormatting>
  <conditionalFormatting sqref="J21">
    <cfRule type="containsText" dxfId="2264" priority="5703" operator="containsText" text="Small">
      <formula>NOT(ISERROR(SEARCH("Small",J21)))</formula>
    </cfRule>
    <cfRule type="containsText" dxfId="2263" priority="5704" operator="containsText" text="Mid">
      <formula>NOT(ISERROR(SEARCH("Mid",J21)))</formula>
    </cfRule>
    <cfRule type="containsText" dxfId="2262" priority="5705" operator="containsText" text="Large">
      <formula>NOT(ISERROR(SEARCH("Large",J21)))</formula>
    </cfRule>
  </conditionalFormatting>
  <conditionalFormatting sqref="J21">
    <cfRule type="containsText" dxfId="2261" priority="5700" operator="containsText" text="Small">
      <formula>NOT(ISERROR(SEARCH("Small",J21)))</formula>
    </cfRule>
    <cfRule type="containsText" dxfId="2260" priority="5701" operator="containsText" text="Mid">
      <formula>NOT(ISERROR(SEARCH("Mid",J21)))</formula>
    </cfRule>
    <cfRule type="containsText" dxfId="2259" priority="5702" operator="containsText" text="Large">
      <formula>NOT(ISERROR(SEARCH("Large",J21)))</formula>
    </cfRule>
  </conditionalFormatting>
  <conditionalFormatting sqref="J21">
    <cfRule type="containsText" dxfId="2258" priority="5697" operator="containsText" text="Small">
      <formula>NOT(ISERROR(SEARCH("Small",J21)))</formula>
    </cfRule>
    <cfRule type="containsText" dxfId="2257" priority="5698" operator="containsText" text="Mid">
      <formula>NOT(ISERROR(SEARCH("Mid",J21)))</formula>
    </cfRule>
    <cfRule type="containsText" dxfId="2256" priority="5699" operator="containsText" text="Large">
      <formula>NOT(ISERROR(SEARCH("Large",J21)))</formula>
    </cfRule>
  </conditionalFormatting>
  <conditionalFormatting sqref="J21">
    <cfRule type="containsText" dxfId="2255" priority="5694" operator="containsText" text="Small">
      <formula>NOT(ISERROR(SEARCH("Small",J21)))</formula>
    </cfRule>
    <cfRule type="containsText" dxfId="2254" priority="5695" operator="containsText" text="Mid">
      <formula>NOT(ISERROR(SEARCH("Mid",J21)))</formula>
    </cfRule>
    <cfRule type="containsText" dxfId="2253" priority="5696" operator="containsText" text="Large">
      <formula>NOT(ISERROR(SEARCH("Large",J21)))</formula>
    </cfRule>
  </conditionalFormatting>
  <conditionalFormatting sqref="J21">
    <cfRule type="containsText" dxfId="2252" priority="5691" operator="containsText" text="Small">
      <formula>NOT(ISERROR(SEARCH("Small",J21)))</formula>
    </cfRule>
    <cfRule type="containsText" dxfId="2251" priority="5692" operator="containsText" text="Mid">
      <formula>NOT(ISERROR(SEARCH("Mid",J21)))</formula>
    </cfRule>
    <cfRule type="containsText" dxfId="2250" priority="5693" operator="containsText" text="Large">
      <formula>NOT(ISERROR(SEARCH("Large",J21)))</formula>
    </cfRule>
  </conditionalFormatting>
  <conditionalFormatting sqref="J21">
    <cfRule type="containsText" dxfId="2249" priority="5688" operator="containsText" text="Small">
      <formula>NOT(ISERROR(SEARCH("Small",J21)))</formula>
    </cfRule>
    <cfRule type="containsText" dxfId="2248" priority="5689" operator="containsText" text="Mid">
      <formula>NOT(ISERROR(SEARCH("Mid",J21)))</formula>
    </cfRule>
    <cfRule type="containsText" dxfId="2247" priority="5690" operator="containsText" text="Large">
      <formula>NOT(ISERROR(SEARCH("Large",J21)))</formula>
    </cfRule>
  </conditionalFormatting>
  <conditionalFormatting sqref="J21">
    <cfRule type="containsText" dxfId="2246" priority="5685" operator="containsText" text="Small">
      <formula>NOT(ISERROR(SEARCH("Small",J21)))</formula>
    </cfRule>
    <cfRule type="containsText" dxfId="2245" priority="5686" operator="containsText" text="Mid">
      <formula>NOT(ISERROR(SEARCH("Mid",J21)))</formula>
    </cfRule>
    <cfRule type="containsText" dxfId="2244" priority="5687" operator="containsText" text="Large">
      <formula>NOT(ISERROR(SEARCH("Large",J21)))</formula>
    </cfRule>
  </conditionalFormatting>
  <conditionalFormatting sqref="J21">
    <cfRule type="containsText" dxfId="2243" priority="5682" operator="containsText" text="Small">
      <formula>NOT(ISERROR(SEARCH("Small",J21)))</formula>
    </cfRule>
    <cfRule type="containsText" dxfId="2242" priority="5683" operator="containsText" text="Mid">
      <formula>NOT(ISERROR(SEARCH("Mid",J21)))</formula>
    </cfRule>
    <cfRule type="containsText" dxfId="2241" priority="5684" operator="containsText" text="Large">
      <formula>NOT(ISERROR(SEARCH("Large",J21)))</formula>
    </cfRule>
  </conditionalFormatting>
  <conditionalFormatting sqref="J21">
    <cfRule type="containsText" dxfId="2240" priority="5679" operator="containsText" text="Small">
      <formula>NOT(ISERROR(SEARCH("Small",J21)))</formula>
    </cfRule>
    <cfRule type="containsText" dxfId="2239" priority="5680" operator="containsText" text="Mid">
      <formula>NOT(ISERROR(SEARCH("Mid",J21)))</formula>
    </cfRule>
    <cfRule type="containsText" dxfId="2238" priority="5681" operator="containsText" text="Large">
      <formula>NOT(ISERROR(SEARCH("Large",J21)))</formula>
    </cfRule>
  </conditionalFormatting>
  <conditionalFormatting sqref="J21">
    <cfRule type="containsText" dxfId="2237" priority="5676" operator="containsText" text="Small">
      <formula>NOT(ISERROR(SEARCH("Small",J21)))</formula>
    </cfRule>
    <cfRule type="containsText" dxfId="2236" priority="5677" operator="containsText" text="Mid">
      <formula>NOT(ISERROR(SEARCH("Mid",J21)))</formula>
    </cfRule>
    <cfRule type="containsText" dxfId="2235" priority="5678" operator="containsText" text="Large">
      <formula>NOT(ISERROR(SEARCH("Large",J21)))</formula>
    </cfRule>
  </conditionalFormatting>
  <conditionalFormatting sqref="Q21">
    <cfRule type="containsText" dxfId="2234" priority="5673" operator="containsText" text="Small">
      <formula>NOT(ISERROR(SEARCH("Small",Q21)))</formula>
    </cfRule>
    <cfRule type="containsText" dxfId="2233" priority="5674" operator="containsText" text="Mid">
      <formula>NOT(ISERROR(SEARCH("Mid",Q21)))</formula>
    </cfRule>
    <cfRule type="containsText" dxfId="2232" priority="5675" operator="containsText" text="Large">
      <formula>NOT(ISERROR(SEARCH("Large",Q21)))</formula>
    </cfRule>
  </conditionalFormatting>
  <conditionalFormatting sqref="Q21">
    <cfRule type="containsText" dxfId="2231" priority="5670" operator="containsText" text="Small">
      <formula>NOT(ISERROR(SEARCH("Small",Q21)))</formula>
    </cfRule>
    <cfRule type="containsText" dxfId="2230" priority="5671" operator="containsText" text="Mid">
      <formula>NOT(ISERROR(SEARCH("Mid",Q21)))</formula>
    </cfRule>
    <cfRule type="containsText" dxfId="2229" priority="5672" operator="containsText" text="Large">
      <formula>NOT(ISERROR(SEARCH("Large",Q21)))</formula>
    </cfRule>
  </conditionalFormatting>
  <conditionalFormatting sqref="Q21">
    <cfRule type="containsText" dxfId="2228" priority="5667" operator="containsText" text="Small">
      <formula>NOT(ISERROR(SEARCH("Small",Q21)))</formula>
    </cfRule>
    <cfRule type="containsText" dxfId="2227" priority="5668" operator="containsText" text="Mid">
      <formula>NOT(ISERROR(SEARCH("Mid",Q21)))</formula>
    </cfRule>
    <cfRule type="containsText" dxfId="2226" priority="5669" operator="containsText" text="Large">
      <formula>NOT(ISERROR(SEARCH("Large",Q21)))</formula>
    </cfRule>
  </conditionalFormatting>
  <conditionalFormatting sqref="Q21">
    <cfRule type="containsText" dxfId="2225" priority="5664" operator="containsText" text="Small">
      <formula>NOT(ISERROR(SEARCH("Small",Q21)))</formula>
    </cfRule>
    <cfRule type="containsText" dxfId="2224" priority="5665" operator="containsText" text="Mid">
      <formula>NOT(ISERROR(SEARCH("Mid",Q21)))</formula>
    </cfRule>
    <cfRule type="containsText" dxfId="2223" priority="5666" operator="containsText" text="Large">
      <formula>NOT(ISERROR(SEARCH("Large",Q21)))</formula>
    </cfRule>
  </conditionalFormatting>
  <conditionalFormatting sqref="Q21">
    <cfRule type="containsText" dxfId="2222" priority="5661" operator="containsText" text="Small">
      <formula>NOT(ISERROR(SEARCH("Small",Q21)))</formula>
    </cfRule>
    <cfRule type="containsText" dxfId="2221" priority="5662" operator="containsText" text="Mid">
      <formula>NOT(ISERROR(SEARCH("Mid",Q21)))</formula>
    </cfRule>
    <cfRule type="containsText" dxfId="2220" priority="5663" operator="containsText" text="Large">
      <formula>NOT(ISERROR(SEARCH("Large",Q21)))</formula>
    </cfRule>
  </conditionalFormatting>
  <conditionalFormatting sqref="Q21">
    <cfRule type="containsText" dxfId="2219" priority="5658" operator="containsText" text="Small">
      <formula>NOT(ISERROR(SEARCH("Small",Q21)))</formula>
    </cfRule>
    <cfRule type="containsText" dxfId="2218" priority="5659" operator="containsText" text="Mid">
      <formula>NOT(ISERROR(SEARCH("Mid",Q21)))</formula>
    </cfRule>
    <cfRule type="containsText" dxfId="2217" priority="5660" operator="containsText" text="Large">
      <formula>NOT(ISERROR(SEARCH("Large",Q21)))</formula>
    </cfRule>
  </conditionalFormatting>
  <conditionalFormatting sqref="Q21">
    <cfRule type="containsText" dxfId="2216" priority="5655" operator="containsText" text="Small">
      <formula>NOT(ISERROR(SEARCH("Small",Q21)))</formula>
    </cfRule>
    <cfRule type="containsText" dxfId="2215" priority="5656" operator="containsText" text="Mid">
      <formula>NOT(ISERROR(SEARCH("Mid",Q21)))</formula>
    </cfRule>
    <cfRule type="containsText" dxfId="2214" priority="5657" operator="containsText" text="Large">
      <formula>NOT(ISERROR(SEARCH("Large",Q21)))</formula>
    </cfRule>
  </conditionalFormatting>
  <conditionalFormatting sqref="Q21">
    <cfRule type="containsText" dxfId="2213" priority="5652" operator="containsText" text="Small">
      <formula>NOT(ISERROR(SEARCH("Small",Q21)))</formula>
    </cfRule>
    <cfRule type="containsText" dxfId="2212" priority="5653" operator="containsText" text="Mid">
      <formula>NOT(ISERROR(SEARCH("Mid",Q21)))</formula>
    </cfRule>
    <cfRule type="containsText" dxfId="2211" priority="5654" operator="containsText" text="Large">
      <formula>NOT(ISERROR(SEARCH("Large",Q21)))</formula>
    </cfRule>
  </conditionalFormatting>
  <conditionalFormatting sqref="Q21">
    <cfRule type="containsText" dxfId="2210" priority="5649" operator="containsText" text="Small">
      <formula>NOT(ISERROR(SEARCH("Small",Q21)))</formula>
    </cfRule>
    <cfRule type="containsText" dxfId="2209" priority="5650" operator="containsText" text="Mid">
      <formula>NOT(ISERROR(SEARCH("Mid",Q21)))</formula>
    </cfRule>
    <cfRule type="containsText" dxfId="2208" priority="5651" operator="containsText" text="Large">
      <formula>NOT(ISERROR(SEARCH("Large",Q21)))</formula>
    </cfRule>
  </conditionalFormatting>
  <conditionalFormatting sqref="Q21">
    <cfRule type="containsText" dxfId="2207" priority="5646" operator="containsText" text="Small">
      <formula>NOT(ISERROR(SEARCH("Small",Q21)))</formula>
    </cfRule>
    <cfRule type="containsText" dxfId="2206" priority="5647" operator="containsText" text="Mid">
      <formula>NOT(ISERROR(SEARCH("Mid",Q21)))</formula>
    </cfRule>
    <cfRule type="containsText" dxfId="2205" priority="5648" operator="containsText" text="Large">
      <formula>NOT(ISERROR(SEARCH("Large",Q21)))</formula>
    </cfRule>
  </conditionalFormatting>
  <conditionalFormatting sqref="Q21">
    <cfRule type="containsText" dxfId="2204" priority="5643" operator="containsText" text="Small">
      <formula>NOT(ISERROR(SEARCH("Small",Q21)))</formula>
    </cfRule>
    <cfRule type="containsText" dxfId="2203" priority="5644" operator="containsText" text="Mid">
      <formula>NOT(ISERROR(SEARCH("Mid",Q21)))</formula>
    </cfRule>
    <cfRule type="containsText" dxfId="2202" priority="5645" operator="containsText" text="Large">
      <formula>NOT(ISERROR(SEARCH("Large",Q21)))</formula>
    </cfRule>
  </conditionalFormatting>
  <conditionalFormatting sqref="Q21">
    <cfRule type="containsText" dxfId="2201" priority="5640" operator="containsText" text="Small">
      <formula>NOT(ISERROR(SEARCH("Small",Q21)))</formula>
    </cfRule>
    <cfRule type="containsText" dxfId="2200" priority="5641" operator="containsText" text="Mid">
      <formula>NOT(ISERROR(SEARCH("Mid",Q21)))</formula>
    </cfRule>
    <cfRule type="containsText" dxfId="2199" priority="5642" operator="containsText" text="Large">
      <formula>NOT(ISERROR(SEARCH("Large",Q21)))</formula>
    </cfRule>
  </conditionalFormatting>
  <conditionalFormatting sqref="Q21">
    <cfRule type="containsText" dxfId="2198" priority="5637" operator="containsText" text="Small">
      <formula>NOT(ISERROR(SEARCH("Small",Q21)))</formula>
    </cfRule>
    <cfRule type="containsText" dxfId="2197" priority="5638" operator="containsText" text="Mid">
      <formula>NOT(ISERROR(SEARCH("Mid",Q21)))</formula>
    </cfRule>
    <cfRule type="containsText" dxfId="2196" priority="5639" operator="containsText" text="Large">
      <formula>NOT(ISERROR(SEARCH("Large",Q21)))</formula>
    </cfRule>
  </conditionalFormatting>
  <conditionalFormatting sqref="Q21">
    <cfRule type="containsText" dxfId="2195" priority="5634" operator="containsText" text="Small">
      <formula>NOT(ISERROR(SEARCH("Small",Q21)))</formula>
    </cfRule>
    <cfRule type="containsText" dxfId="2194" priority="5635" operator="containsText" text="Mid">
      <formula>NOT(ISERROR(SEARCH("Mid",Q21)))</formula>
    </cfRule>
    <cfRule type="containsText" dxfId="2193" priority="5636" operator="containsText" text="Large">
      <formula>NOT(ISERROR(SEARCH("Large",Q21)))</formula>
    </cfRule>
  </conditionalFormatting>
  <conditionalFormatting sqref="Q21">
    <cfRule type="containsText" dxfId="2192" priority="5631" operator="containsText" text="Small">
      <formula>NOT(ISERROR(SEARCH("Small",Q21)))</formula>
    </cfRule>
    <cfRule type="containsText" dxfId="2191" priority="5632" operator="containsText" text="Mid">
      <formula>NOT(ISERROR(SEARCH("Mid",Q21)))</formula>
    </cfRule>
    <cfRule type="containsText" dxfId="2190" priority="5633" operator="containsText" text="Large">
      <formula>NOT(ISERROR(SEARCH("Large",Q21)))</formula>
    </cfRule>
  </conditionalFormatting>
  <conditionalFormatting sqref="Q21">
    <cfRule type="containsText" dxfId="2189" priority="5628" operator="containsText" text="Small">
      <formula>NOT(ISERROR(SEARCH("Small",Q21)))</formula>
    </cfRule>
    <cfRule type="containsText" dxfId="2188" priority="5629" operator="containsText" text="Mid">
      <formula>NOT(ISERROR(SEARCH("Mid",Q21)))</formula>
    </cfRule>
    <cfRule type="containsText" dxfId="2187" priority="5630" operator="containsText" text="Large">
      <formula>NOT(ISERROR(SEARCH("Large",Q21)))</formula>
    </cfRule>
  </conditionalFormatting>
  <conditionalFormatting sqref="Q21">
    <cfRule type="containsText" dxfId="2186" priority="5625" operator="containsText" text="Small">
      <formula>NOT(ISERROR(SEARCH("Small",Q21)))</formula>
    </cfRule>
    <cfRule type="containsText" dxfId="2185" priority="5626" operator="containsText" text="Mid">
      <formula>NOT(ISERROR(SEARCH("Mid",Q21)))</formula>
    </cfRule>
    <cfRule type="containsText" dxfId="2184" priority="5627" operator="containsText" text="Large">
      <formula>NOT(ISERROR(SEARCH("Large",Q21)))</formula>
    </cfRule>
  </conditionalFormatting>
  <conditionalFormatting sqref="Q21">
    <cfRule type="containsText" dxfId="2183" priority="5622" operator="containsText" text="Small">
      <formula>NOT(ISERROR(SEARCH("Small",Q21)))</formula>
    </cfRule>
    <cfRule type="containsText" dxfId="2182" priority="5623" operator="containsText" text="Mid">
      <formula>NOT(ISERROR(SEARCH("Mid",Q21)))</formula>
    </cfRule>
    <cfRule type="containsText" dxfId="2181" priority="5624" operator="containsText" text="Large">
      <formula>NOT(ISERROR(SEARCH("Large",Q21)))</formula>
    </cfRule>
  </conditionalFormatting>
  <conditionalFormatting sqref="Q35">
    <cfRule type="containsText" dxfId="2180" priority="5619" operator="containsText" text="Small">
      <formula>NOT(ISERROR(SEARCH("Small",Q35)))</formula>
    </cfRule>
    <cfRule type="containsText" dxfId="2179" priority="5620" operator="containsText" text="Mid">
      <formula>NOT(ISERROR(SEARCH("Mid",Q35)))</formula>
    </cfRule>
    <cfRule type="containsText" dxfId="2178" priority="5621" operator="containsText" text="Large">
      <formula>NOT(ISERROR(SEARCH("Large",Q35)))</formula>
    </cfRule>
  </conditionalFormatting>
  <conditionalFormatting sqref="Q35">
    <cfRule type="containsText" dxfId="2177" priority="5616" operator="containsText" text="Small">
      <formula>NOT(ISERROR(SEARCH("Small",Q35)))</formula>
    </cfRule>
    <cfRule type="containsText" dxfId="2176" priority="5617" operator="containsText" text="Mid">
      <formula>NOT(ISERROR(SEARCH("Mid",Q35)))</formula>
    </cfRule>
    <cfRule type="containsText" dxfId="2175" priority="5618" operator="containsText" text="Large">
      <formula>NOT(ISERROR(SEARCH("Large",Q35)))</formula>
    </cfRule>
  </conditionalFormatting>
  <conditionalFormatting sqref="Q35">
    <cfRule type="containsText" dxfId="2174" priority="5613" operator="containsText" text="Small">
      <formula>NOT(ISERROR(SEARCH("Small",Q35)))</formula>
    </cfRule>
    <cfRule type="containsText" dxfId="2173" priority="5614" operator="containsText" text="Mid">
      <formula>NOT(ISERROR(SEARCH("Mid",Q35)))</formula>
    </cfRule>
    <cfRule type="containsText" dxfId="2172" priority="5615" operator="containsText" text="Large">
      <formula>NOT(ISERROR(SEARCH("Large",Q35)))</formula>
    </cfRule>
  </conditionalFormatting>
  <conditionalFormatting sqref="Q35">
    <cfRule type="containsText" dxfId="2171" priority="5610" operator="containsText" text="Small">
      <formula>NOT(ISERROR(SEARCH("Small",Q35)))</formula>
    </cfRule>
    <cfRule type="containsText" dxfId="2170" priority="5611" operator="containsText" text="Mid">
      <formula>NOT(ISERROR(SEARCH("Mid",Q35)))</formula>
    </cfRule>
    <cfRule type="containsText" dxfId="2169" priority="5612" operator="containsText" text="Large">
      <formula>NOT(ISERROR(SEARCH("Large",Q35)))</formula>
    </cfRule>
  </conditionalFormatting>
  <conditionalFormatting sqref="Q35">
    <cfRule type="containsText" dxfId="2168" priority="5607" operator="containsText" text="Small">
      <formula>NOT(ISERROR(SEARCH("Small",Q35)))</formula>
    </cfRule>
    <cfRule type="containsText" dxfId="2167" priority="5608" operator="containsText" text="Mid">
      <formula>NOT(ISERROR(SEARCH("Mid",Q35)))</formula>
    </cfRule>
    <cfRule type="containsText" dxfId="2166" priority="5609" operator="containsText" text="Large">
      <formula>NOT(ISERROR(SEARCH("Large",Q35)))</formula>
    </cfRule>
  </conditionalFormatting>
  <conditionalFormatting sqref="Q35">
    <cfRule type="containsText" dxfId="2165" priority="5604" operator="containsText" text="Small">
      <formula>NOT(ISERROR(SEARCH("Small",Q35)))</formula>
    </cfRule>
    <cfRule type="containsText" dxfId="2164" priority="5605" operator="containsText" text="Mid">
      <formula>NOT(ISERROR(SEARCH("Mid",Q35)))</formula>
    </cfRule>
    <cfRule type="containsText" dxfId="2163" priority="5606" operator="containsText" text="Large">
      <formula>NOT(ISERROR(SEARCH("Large",Q35)))</formula>
    </cfRule>
  </conditionalFormatting>
  <conditionalFormatting sqref="Q35">
    <cfRule type="containsText" dxfId="2162" priority="5601" operator="containsText" text="Small">
      <formula>NOT(ISERROR(SEARCH("Small",Q35)))</formula>
    </cfRule>
    <cfRule type="containsText" dxfId="2161" priority="5602" operator="containsText" text="Mid">
      <formula>NOT(ISERROR(SEARCH("Mid",Q35)))</formula>
    </cfRule>
    <cfRule type="containsText" dxfId="2160" priority="5603" operator="containsText" text="Large">
      <formula>NOT(ISERROR(SEARCH("Large",Q35)))</formula>
    </cfRule>
  </conditionalFormatting>
  <conditionalFormatting sqref="Q35">
    <cfRule type="containsText" dxfId="2159" priority="5598" operator="containsText" text="Small">
      <formula>NOT(ISERROR(SEARCH("Small",Q35)))</formula>
    </cfRule>
    <cfRule type="containsText" dxfId="2158" priority="5599" operator="containsText" text="Mid">
      <formula>NOT(ISERROR(SEARCH("Mid",Q35)))</formula>
    </cfRule>
    <cfRule type="containsText" dxfId="2157" priority="5600" operator="containsText" text="Large">
      <formula>NOT(ISERROR(SEARCH("Large",Q35)))</formula>
    </cfRule>
  </conditionalFormatting>
  <conditionalFormatting sqref="Q35">
    <cfRule type="containsText" dxfId="2156" priority="5595" operator="containsText" text="Small">
      <formula>NOT(ISERROR(SEARCH("Small",Q35)))</formula>
    </cfRule>
    <cfRule type="containsText" dxfId="2155" priority="5596" operator="containsText" text="Mid">
      <formula>NOT(ISERROR(SEARCH("Mid",Q35)))</formula>
    </cfRule>
    <cfRule type="containsText" dxfId="2154" priority="5597" operator="containsText" text="Large">
      <formula>NOT(ISERROR(SEARCH("Large",Q35)))</formula>
    </cfRule>
  </conditionalFormatting>
  <conditionalFormatting sqref="Q35">
    <cfRule type="containsText" dxfId="2153" priority="5592" operator="containsText" text="Small">
      <formula>NOT(ISERROR(SEARCH("Small",Q35)))</formula>
    </cfRule>
    <cfRule type="containsText" dxfId="2152" priority="5593" operator="containsText" text="Mid">
      <formula>NOT(ISERROR(SEARCH("Mid",Q35)))</formula>
    </cfRule>
    <cfRule type="containsText" dxfId="2151" priority="5594" operator="containsText" text="Large">
      <formula>NOT(ISERROR(SEARCH("Large",Q35)))</formula>
    </cfRule>
  </conditionalFormatting>
  <conditionalFormatting sqref="Q35">
    <cfRule type="containsText" dxfId="2150" priority="5589" operator="containsText" text="Small">
      <formula>NOT(ISERROR(SEARCH("Small",Q35)))</formula>
    </cfRule>
    <cfRule type="containsText" dxfId="2149" priority="5590" operator="containsText" text="Mid">
      <formula>NOT(ISERROR(SEARCH("Mid",Q35)))</formula>
    </cfRule>
    <cfRule type="containsText" dxfId="2148" priority="5591" operator="containsText" text="Large">
      <formula>NOT(ISERROR(SEARCH("Large",Q35)))</formula>
    </cfRule>
  </conditionalFormatting>
  <conditionalFormatting sqref="Q35">
    <cfRule type="containsText" dxfId="2147" priority="5586" operator="containsText" text="Small">
      <formula>NOT(ISERROR(SEARCH("Small",Q35)))</formula>
    </cfRule>
    <cfRule type="containsText" dxfId="2146" priority="5587" operator="containsText" text="Mid">
      <formula>NOT(ISERROR(SEARCH("Mid",Q35)))</formula>
    </cfRule>
    <cfRule type="containsText" dxfId="2145" priority="5588" operator="containsText" text="Large">
      <formula>NOT(ISERROR(SEARCH("Large",Q35)))</formula>
    </cfRule>
  </conditionalFormatting>
  <conditionalFormatting sqref="Q35">
    <cfRule type="containsText" dxfId="2144" priority="5583" operator="containsText" text="Small">
      <formula>NOT(ISERROR(SEARCH("Small",Q35)))</formula>
    </cfRule>
    <cfRule type="containsText" dxfId="2143" priority="5584" operator="containsText" text="Mid">
      <formula>NOT(ISERROR(SEARCH("Mid",Q35)))</formula>
    </cfRule>
    <cfRule type="containsText" dxfId="2142" priority="5585" operator="containsText" text="Large">
      <formula>NOT(ISERROR(SEARCH("Large",Q35)))</formula>
    </cfRule>
  </conditionalFormatting>
  <conditionalFormatting sqref="Q35">
    <cfRule type="containsText" dxfId="2141" priority="5580" operator="containsText" text="Small">
      <formula>NOT(ISERROR(SEARCH("Small",Q35)))</formula>
    </cfRule>
    <cfRule type="containsText" dxfId="2140" priority="5581" operator="containsText" text="Mid">
      <formula>NOT(ISERROR(SEARCH("Mid",Q35)))</formula>
    </cfRule>
    <cfRule type="containsText" dxfId="2139" priority="5582" operator="containsText" text="Large">
      <formula>NOT(ISERROR(SEARCH("Large",Q35)))</formula>
    </cfRule>
  </conditionalFormatting>
  <conditionalFormatting sqref="Q35">
    <cfRule type="containsText" dxfId="2138" priority="5577" operator="containsText" text="Small">
      <formula>NOT(ISERROR(SEARCH("Small",Q35)))</formula>
    </cfRule>
    <cfRule type="containsText" dxfId="2137" priority="5578" operator="containsText" text="Mid">
      <formula>NOT(ISERROR(SEARCH("Mid",Q35)))</formula>
    </cfRule>
    <cfRule type="containsText" dxfId="2136" priority="5579" operator="containsText" text="Large">
      <formula>NOT(ISERROR(SEARCH("Large",Q35)))</formula>
    </cfRule>
  </conditionalFormatting>
  <conditionalFormatting sqref="Q35">
    <cfRule type="containsText" dxfId="2135" priority="5574" operator="containsText" text="Small">
      <formula>NOT(ISERROR(SEARCH("Small",Q35)))</formula>
    </cfRule>
    <cfRule type="containsText" dxfId="2134" priority="5575" operator="containsText" text="Mid">
      <formula>NOT(ISERROR(SEARCH("Mid",Q35)))</formula>
    </cfRule>
    <cfRule type="containsText" dxfId="2133" priority="5576" operator="containsText" text="Large">
      <formula>NOT(ISERROR(SEARCH("Large",Q35)))</formula>
    </cfRule>
  </conditionalFormatting>
  <conditionalFormatting sqref="Q35">
    <cfRule type="containsText" dxfId="2132" priority="5571" operator="containsText" text="Small">
      <formula>NOT(ISERROR(SEARCH("Small",Q35)))</formula>
    </cfRule>
    <cfRule type="containsText" dxfId="2131" priority="5572" operator="containsText" text="Mid">
      <formula>NOT(ISERROR(SEARCH("Mid",Q35)))</formula>
    </cfRule>
    <cfRule type="containsText" dxfId="2130" priority="5573" operator="containsText" text="Large">
      <formula>NOT(ISERROR(SEARCH("Large",Q35)))</formula>
    </cfRule>
  </conditionalFormatting>
  <conditionalFormatting sqref="Q35">
    <cfRule type="containsText" dxfId="2129" priority="5568" operator="containsText" text="Small">
      <formula>NOT(ISERROR(SEARCH("Small",Q35)))</formula>
    </cfRule>
    <cfRule type="containsText" dxfId="2128" priority="5569" operator="containsText" text="Mid">
      <formula>NOT(ISERROR(SEARCH("Mid",Q35)))</formula>
    </cfRule>
    <cfRule type="containsText" dxfId="2127" priority="5570" operator="containsText" text="Large">
      <formula>NOT(ISERROR(SEARCH("Large",Q35)))</formula>
    </cfRule>
  </conditionalFormatting>
  <conditionalFormatting sqref="Q35">
    <cfRule type="containsText" dxfId="2126" priority="5565" operator="containsText" text="Small">
      <formula>NOT(ISERROR(SEARCH("Small",Q35)))</formula>
    </cfRule>
    <cfRule type="containsText" dxfId="2125" priority="5566" operator="containsText" text="Mid">
      <formula>NOT(ISERROR(SEARCH("Mid",Q35)))</formula>
    </cfRule>
    <cfRule type="containsText" dxfId="2124" priority="5567" operator="containsText" text="Large">
      <formula>NOT(ISERROR(SEARCH("Large",Q35)))</formula>
    </cfRule>
  </conditionalFormatting>
  <conditionalFormatting sqref="Q35">
    <cfRule type="containsText" dxfId="2123" priority="5562" operator="containsText" text="Small">
      <formula>NOT(ISERROR(SEARCH("Small",Q35)))</formula>
    </cfRule>
    <cfRule type="containsText" dxfId="2122" priority="5563" operator="containsText" text="Mid">
      <formula>NOT(ISERROR(SEARCH("Mid",Q35)))</formula>
    </cfRule>
    <cfRule type="containsText" dxfId="2121" priority="5564" operator="containsText" text="Large">
      <formula>NOT(ISERROR(SEARCH("Large",Q35)))</formula>
    </cfRule>
  </conditionalFormatting>
  <conditionalFormatting sqref="Q35">
    <cfRule type="containsText" dxfId="2120" priority="5559" operator="containsText" text="Small">
      <formula>NOT(ISERROR(SEARCH("Small",Q35)))</formula>
    </cfRule>
    <cfRule type="containsText" dxfId="2119" priority="5560" operator="containsText" text="Mid">
      <formula>NOT(ISERROR(SEARCH("Mid",Q35)))</formula>
    </cfRule>
    <cfRule type="containsText" dxfId="2118" priority="5561" operator="containsText" text="Large">
      <formula>NOT(ISERROR(SEARCH("Large",Q35)))</formula>
    </cfRule>
  </conditionalFormatting>
  <conditionalFormatting sqref="X21">
    <cfRule type="containsText" dxfId="2117" priority="5404" operator="containsText" text="No Cap">
      <formula>NOT(ISERROR(SEARCH("No Cap",X21)))</formula>
    </cfRule>
  </conditionalFormatting>
  <conditionalFormatting sqref="X21">
    <cfRule type="containsText" dxfId="2116" priority="5403" operator="containsText" text="No Cap">
      <formula>NOT(ISERROR(SEARCH("No Cap",X21)))</formula>
    </cfRule>
  </conditionalFormatting>
  <conditionalFormatting sqref="X21">
    <cfRule type="containsText" dxfId="2115" priority="5400" operator="containsText" text="Small">
      <formula>NOT(ISERROR(SEARCH("Small",X21)))</formula>
    </cfRule>
    <cfRule type="containsText" dxfId="2114" priority="5401" operator="containsText" text="Mid">
      <formula>NOT(ISERROR(SEARCH("Mid",X21)))</formula>
    </cfRule>
    <cfRule type="containsText" dxfId="2113" priority="5402" operator="containsText" text="Large">
      <formula>NOT(ISERROR(SEARCH("Large",X21)))</formula>
    </cfRule>
  </conditionalFormatting>
  <conditionalFormatting sqref="X21">
    <cfRule type="containsText" dxfId="2112" priority="5397" operator="containsText" text="Small">
      <formula>NOT(ISERROR(SEARCH("Small",X21)))</formula>
    </cfRule>
    <cfRule type="containsText" dxfId="2111" priority="5398" operator="containsText" text="Mid">
      <formula>NOT(ISERROR(SEARCH("Mid",X21)))</formula>
    </cfRule>
    <cfRule type="containsText" dxfId="2110" priority="5399" operator="containsText" text="Large">
      <formula>NOT(ISERROR(SEARCH("Large",X21)))</formula>
    </cfRule>
  </conditionalFormatting>
  <conditionalFormatting sqref="X21">
    <cfRule type="containsText" dxfId="2109" priority="5394" operator="containsText" text="Small">
      <formula>NOT(ISERROR(SEARCH("Small",X21)))</formula>
    </cfRule>
    <cfRule type="containsText" dxfId="2108" priority="5395" operator="containsText" text="Mid">
      <formula>NOT(ISERROR(SEARCH("Mid",X21)))</formula>
    </cfRule>
    <cfRule type="containsText" dxfId="2107" priority="5396" operator="containsText" text="Large">
      <formula>NOT(ISERROR(SEARCH("Large",X21)))</formula>
    </cfRule>
  </conditionalFormatting>
  <conditionalFormatting sqref="X21">
    <cfRule type="containsText" dxfId="2106" priority="5393" operator="containsText" text="NA">
      <formula>NOT(ISERROR(SEARCH("NA",X21)))</formula>
    </cfRule>
  </conditionalFormatting>
  <conditionalFormatting sqref="X21">
    <cfRule type="containsText" dxfId="2105" priority="5390" operator="containsText" text="Small">
      <formula>NOT(ISERROR(SEARCH("Small",X21)))</formula>
    </cfRule>
    <cfRule type="containsText" dxfId="2104" priority="5391" operator="containsText" text="Mid">
      <formula>NOT(ISERROR(SEARCH("Mid",X21)))</formula>
    </cfRule>
    <cfRule type="containsText" dxfId="2103" priority="5392" operator="containsText" text="Large">
      <formula>NOT(ISERROR(SEARCH("Large",X21)))</formula>
    </cfRule>
  </conditionalFormatting>
  <conditionalFormatting sqref="X21">
    <cfRule type="containsText" dxfId="2102" priority="5387" operator="containsText" text="Small">
      <formula>NOT(ISERROR(SEARCH("Small",X21)))</formula>
    </cfRule>
    <cfRule type="containsText" dxfId="2101" priority="5388" operator="containsText" text="Mid">
      <formula>NOT(ISERROR(SEARCH("Mid",X21)))</formula>
    </cfRule>
    <cfRule type="containsText" dxfId="2100" priority="5389" operator="containsText" text="Large">
      <formula>NOT(ISERROR(SEARCH("Large",X21)))</formula>
    </cfRule>
  </conditionalFormatting>
  <conditionalFormatting sqref="X21">
    <cfRule type="containsText" dxfId="2099" priority="5384" operator="containsText" text="Small">
      <formula>NOT(ISERROR(SEARCH("Small",X21)))</formula>
    </cfRule>
    <cfRule type="containsText" dxfId="2098" priority="5385" operator="containsText" text="Mid">
      <formula>NOT(ISERROR(SEARCH("Mid",X21)))</formula>
    </cfRule>
    <cfRule type="containsText" dxfId="2097" priority="5386" operator="containsText" text="Large">
      <formula>NOT(ISERROR(SEARCH("Large",X21)))</formula>
    </cfRule>
  </conditionalFormatting>
  <conditionalFormatting sqref="X21">
    <cfRule type="containsText" dxfId="2096" priority="5381" operator="containsText" text="Small">
      <formula>NOT(ISERROR(SEARCH("Small",X21)))</formula>
    </cfRule>
    <cfRule type="containsText" dxfId="2095" priority="5382" operator="containsText" text="Mid">
      <formula>NOT(ISERROR(SEARCH("Mid",X21)))</formula>
    </cfRule>
    <cfRule type="containsText" dxfId="2094" priority="5383" operator="containsText" text="Large">
      <formula>NOT(ISERROR(SEARCH("Large",X21)))</formula>
    </cfRule>
  </conditionalFormatting>
  <conditionalFormatting sqref="X21">
    <cfRule type="containsText" dxfId="2093" priority="5378" operator="containsText" text="Small">
      <formula>NOT(ISERROR(SEARCH("Small",X21)))</formula>
    </cfRule>
    <cfRule type="containsText" dxfId="2092" priority="5379" operator="containsText" text="Mid">
      <formula>NOT(ISERROR(SEARCH("Mid",X21)))</formula>
    </cfRule>
    <cfRule type="containsText" dxfId="2091" priority="5380" operator="containsText" text="Large">
      <formula>NOT(ISERROR(SEARCH("Large",X21)))</formula>
    </cfRule>
  </conditionalFormatting>
  <conditionalFormatting sqref="X21">
    <cfRule type="containsText" dxfId="2090" priority="5375" operator="containsText" text="Small">
      <formula>NOT(ISERROR(SEARCH("Small",X21)))</formula>
    </cfRule>
    <cfRule type="containsText" dxfId="2089" priority="5376" operator="containsText" text="Mid">
      <formula>NOT(ISERROR(SEARCH("Mid",X21)))</formula>
    </cfRule>
    <cfRule type="containsText" dxfId="2088" priority="5377" operator="containsText" text="Large">
      <formula>NOT(ISERROR(SEARCH("Large",X21)))</formula>
    </cfRule>
  </conditionalFormatting>
  <conditionalFormatting sqref="X21">
    <cfRule type="containsText" dxfId="2087" priority="5372" operator="containsText" text="Small">
      <formula>NOT(ISERROR(SEARCH("Small",X21)))</formula>
    </cfRule>
    <cfRule type="containsText" dxfId="2086" priority="5373" operator="containsText" text="Mid">
      <formula>NOT(ISERROR(SEARCH("Mid",X21)))</formula>
    </cfRule>
    <cfRule type="containsText" dxfId="2085" priority="5374" operator="containsText" text="Large">
      <formula>NOT(ISERROR(SEARCH("Large",X21)))</formula>
    </cfRule>
  </conditionalFormatting>
  <conditionalFormatting sqref="X21">
    <cfRule type="containsText" dxfId="2084" priority="5369" operator="containsText" text="Small">
      <formula>NOT(ISERROR(SEARCH("Small",X21)))</formula>
    </cfRule>
    <cfRule type="containsText" dxfId="2083" priority="5370" operator="containsText" text="Mid">
      <formula>NOT(ISERROR(SEARCH("Mid",X21)))</formula>
    </cfRule>
    <cfRule type="containsText" dxfId="2082" priority="5371" operator="containsText" text="Large">
      <formula>NOT(ISERROR(SEARCH("Large",X21)))</formula>
    </cfRule>
  </conditionalFormatting>
  <conditionalFormatting sqref="X21">
    <cfRule type="containsText" dxfId="2081" priority="5366" operator="containsText" text="Small">
      <formula>NOT(ISERROR(SEARCH("Small",X21)))</formula>
    </cfRule>
    <cfRule type="containsText" dxfId="2080" priority="5367" operator="containsText" text="Mid">
      <formula>NOT(ISERROR(SEARCH("Mid",X21)))</formula>
    </cfRule>
    <cfRule type="containsText" dxfId="2079" priority="5368" operator="containsText" text="Large">
      <formula>NOT(ISERROR(SEARCH("Large",X21)))</formula>
    </cfRule>
  </conditionalFormatting>
  <conditionalFormatting sqref="X21">
    <cfRule type="containsText" dxfId="2078" priority="5363" operator="containsText" text="Small">
      <formula>NOT(ISERROR(SEARCH("Small",X21)))</formula>
    </cfRule>
    <cfRule type="containsText" dxfId="2077" priority="5364" operator="containsText" text="Mid">
      <formula>NOT(ISERROR(SEARCH("Mid",X21)))</formula>
    </cfRule>
    <cfRule type="containsText" dxfId="2076" priority="5365" operator="containsText" text="Large">
      <formula>NOT(ISERROR(SEARCH("Large",X21)))</formula>
    </cfRule>
  </conditionalFormatting>
  <conditionalFormatting sqref="X21">
    <cfRule type="containsText" dxfId="2075" priority="5360" operator="containsText" text="Small">
      <formula>NOT(ISERROR(SEARCH("Small",X21)))</formula>
    </cfRule>
    <cfRule type="containsText" dxfId="2074" priority="5361" operator="containsText" text="Mid">
      <formula>NOT(ISERROR(SEARCH("Mid",X21)))</formula>
    </cfRule>
    <cfRule type="containsText" dxfId="2073" priority="5362" operator="containsText" text="Large">
      <formula>NOT(ISERROR(SEARCH("Large",X21)))</formula>
    </cfRule>
  </conditionalFormatting>
  <conditionalFormatting sqref="X21">
    <cfRule type="containsText" dxfId="2072" priority="5357" operator="containsText" text="Small">
      <formula>NOT(ISERROR(SEARCH("Small",X21)))</formula>
    </cfRule>
    <cfRule type="containsText" dxfId="2071" priority="5358" operator="containsText" text="Mid">
      <formula>NOT(ISERROR(SEARCH("Mid",X21)))</formula>
    </cfRule>
    <cfRule type="containsText" dxfId="2070" priority="5359" operator="containsText" text="Large">
      <formula>NOT(ISERROR(SEARCH("Large",X21)))</formula>
    </cfRule>
  </conditionalFormatting>
  <conditionalFormatting sqref="X21">
    <cfRule type="containsText" dxfId="2069" priority="5354" operator="containsText" text="Small">
      <formula>NOT(ISERROR(SEARCH("Small",X21)))</formula>
    </cfRule>
    <cfRule type="containsText" dxfId="2068" priority="5355" operator="containsText" text="Mid">
      <formula>NOT(ISERROR(SEARCH("Mid",X21)))</formula>
    </cfRule>
    <cfRule type="containsText" dxfId="2067" priority="5356" operator="containsText" text="Large">
      <formula>NOT(ISERROR(SEARCH("Large",X21)))</formula>
    </cfRule>
  </conditionalFormatting>
  <conditionalFormatting sqref="X21">
    <cfRule type="containsText" dxfId="2066" priority="5351" operator="containsText" text="Small">
      <formula>NOT(ISERROR(SEARCH("Small",X21)))</formula>
    </cfRule>
    <cfRule type="containsText" dxfId="2065" priority="5352" operator="containsText" text="Mid">
      <formula>NOT(ISERROR(SEARCH("Mid",X21)))</formula>
    </cfRule>
    <cfRule type="containsText" dxfId="2064" priority="5353" operator="containsText" text="Large">
      <formula>NOT(ISERROR(SEARCH("Large",X21)))</formula>
    </cfRule>
  </conditionalFormatting>
  <conditionalFormatting sqref="X21">
    <cfRule type="containsText" dxfId="2063" priority="5348" operator="containsText" text="Small">
      <formula>NOT(ISERROR(SEARCH("Small",X21)))</formula>
    </cfRule>
    <cfRule type="containsText" dxfId="2062" priority="5349" operator="containsText" text="Mid">
      <formula>NOT(ISERROR(SEARCH("Mid",X21)))</formula>
    </cfRule>
    <cfRule type="containsText" dxfId="2061" priority="5350" operator="containsText" text="Large">
      <formula>NOT(ISERROR(SEARCH("Large",X21)))</formula>
    </cfRule>
  </conditionalFormatting>
  <conditionalFormatting sqref="X21">
    <cfRule type="containsText" dxfId="2060" priority="5345" operator="containsText" text="Small">
      <formula>NOT(ISERROR(SEARCH("Small",X21)))</formula>
    </cfRule>
    <cfRule type="containsText" dxfId="2059" priority="5346" operator="containsText" text="Mid">
      <formula>NOT(ISERROR(SEARCH("Mid",X21)))</formula>
    </cfRule>
    <cfRule type="containsText" dxfId="2058" priority="5347" operator="containsText" text="Large">
      <formula>NOT(ISERROR(SEARCH("Large",X21)))</formula>
    </cfRule>
  </conditionalFormatting>
  <conditionalFormatting sqref="X21">
    <cfRule type="containsText" dxfId="2057" priority="5342" operator="containsText" text="Small">
      <formula>NOT(ISERROR(SEARCH("Small",X21)))</formula>
    </cfRule>
    <cfRule type="containsText" dxfId="2056" priority="5343" operator="containsText" text="Mid">
      <formula>NOT(ISERROR(SEARCH("Mid",X21)))</formula>
    </cfRule>
    <cfRule type="containsText" dxfId="2055" priority="5344" operator="containsText" text="Large">
      <formula>NOT(ISERROR(SEARCH("Large",X21)))</formula>
    </cfRule>
  </conditionalFormatting>
  <conditionalFormatting sqref="X21">
    <cfRule type="containsText" dxfId="2054" priority="5339" operator="containsText" text="Small">
      <formula>NOT(ISERROR(SEARCH("Small",X21)))</formula>
    </cfRule>
    <cfRule type="containsText" dxfId="2053" priority="5340" operator="containsText" text="Mid">
      <formula>NOT(ISERROR(SEARCH("Mid",X21)))</formula>
    </cfRule>
    <cfRule type="containsText" dxfId="2052" priority="5341" operator="containsText" text="Large">
      <formula>NOT(ISERROR(SEARCH("Large",X21)))</formula>
    </cfRule>
  </conditionalFormatting>
  <conditionalFormatting sqref="X21">
    <cfRule type="containsText" dxfId="2051" priority="5336" operator="containsText" text="Small">
      <formula>NOT(ISERROR(SEARCH("Small",X21)))</formula>
    </cfRule>
    <cfRule type="containsText" dxfId="2050" priority="5337" operator="containsText" text="Mid">
      <formula>NOT(ISERROR(SEARCH("Mid",X21)))</formula>
    </cfRule>
    <cfRule type="containsText" dxfId="2049" priority="5338" operator="containsText" text="Large">
      <formula>NOT(ISERROR(SEARCH("Large",X21)))</formula>
    </cfRule>
  </conditionalFormatting>
  <conditionalFormatting sqref="X21">
    <cfRule type="containsText" dxfId="2048" priority="5333" operator="containsText" text="Small">
      <formula>NOT(ISERROR(SEARCH("Small",X21)))</formula>
    </cfRule>
    <cfRule type="containsText" dxfId="2047" priority="5334" operator="containsText" text="Mid">
      <formula>NOT(ISERROR(SEARCH("Mid",X21)))</formula>
    </cfRule>
    <cfRule type="containsText" dxfId="2046" priority="5335" operator="containsText" text="Large">
      <formula>NOT(ISERROR(SEARCH("Large",X21)))</formula>
    </cfRule>
  </conditionalFormatting>
  <conditionalFormatting sqref="X21">
    <cfRule type="containsText" dxfId="2045" priority="5330" operator="containsText" text="Small">
      <formula>NOT(ISERROR(SEARCH("Small",X21)))</formula>
    </cfRule>
    <cfRule type="containsText" dxfId="2044" priority="5331" operator="containsText" text="Mid">
      <formula>NOT(ISERROR(SEARCH("Mid",X21)))</formula>
    </cfRule>
    <cfRule type="containsText" dxfId="2043" priority="5332" operator="containsText" text="Large">
      <formula>NOT(ISERROR(SEARCH("Large",X21)))</formula>
    </cfRule>
  </conditionalFormatting>
  <conditionalFormatting sqref="X21">
    <cfRule type="containsText" dxfId="2042" priority="5327" operator="containsText" text="Small">
      <formula>NOT(ISERROR(SEARCH("Small",X21)))</formula>
    </cfRule>
    <cfRule type="containsText" dxfId="2041" priority="5328" operator="containsText" text="Mid">
      <formula>NOT(ISERROR(SEARCH("Mid",X21)))</formula>
    </cfRule>
    <cfRule type="containsText" dxfId="2040" priority="5329" operator="containsText" text="Large">
      <formula>NOT(ISERROR(SEARCH("Large",X21)))</formula>
    </cfRule>
  </conditionalFormatting>
  <conditionalFormatting sqref="X21">
    <cfRule type="containsText" dxfId="2039" priority="5324" operator="containsText" text="Small">
      <formula>NOT(ISERROR(SEARCH("Small",X21)))</formula>
    </cfRule>
    <cfRule type="containsText" dxfId="2038" priority="5325" operator="containsText" text="Mid">
      <formula>NOT(ISERROR(SEARCH("Mid",X21)))</formula>
    </cfRule>
    <cfRule type="containsText" dxfId="2037" priority="5326" operator="containsText" text="Large">
      <formula>NOT(ISERROR(SEARCH("Large",X21)))</formula>
    </cfRule>
  </conditionalFormatting>
  <conditionalFormatting sqref="X21">
    <cfRule type="containsText" dxfId="2036" priority="5321" operator="containsText" text="Small">
      <formula>NOT(ISERROR(SEARCH("Small",X21)))</formula>
    </cfRule>
    <cfRule type="containsText" dxfId="2035" priority="5322" operator="containsText" text="Mid">
      <formula>NOT(ISERROR(SEARCH("Mid",X21)))</formula>
    </cfRule>
    <cfRule type="containsText" dxfId="2034" priority="5323" operator="containsText" text="Large">
      <formula>NOT(ISERROR(SEARCH("Large",X21)))</formula>
    </cfRule>
  </conditionalFormatting>
  <conditionalFormatting sqref="X21">
    <cfRule type="containsText" dxfId="2033" priority="5318" operator="containsText" text="Small">
      <formula>NOT(ISERROR(SEARCH("Small",X21)))</formula>
    </cfRule>
    <cfRule type="containsText" dxfId="2032" priority="5319" operator="containsText" text="Mid">
      <formula>NOT(ISERROR(SEARCH("Mid",X21)))</formula>
    </cfRule>
    <cfRule type="containsText" dxfId="2031" priority="5320" operator="containsText" text="Large">
      <formula>NOT(ISERROR(SEARCH("Large",X21)))</formula>
    </cfRule>
  </conditionalFormatting>
  <conditionalFormatting sqref="X21">
    <cfRule type="containsText" dxfId="2030" priority="5315" operator="containsText" text="Small">
      <formula>NOT(ISERROR(SEARCH("Small",X21)))</formula>
    </cfRule>
    <cfRule type="containsText" dxfId="2029" priority="5316" operator="containsText" text="Mid">
      <formula>NOT(ISERROR(SEARCH("Mid",X21)))</formula>
    </cfRule>
    <cfRule type="containsText" dxfId="2028" priority="5317" operator="containsText" text="Large">
      <formula>NOT(ISERROR(SEARCH("Large",X21)))</formula>
    </cfRule>
  </conditionalFormatting>
  <conditionalFormatting sqref="X21">
    <cfRule type="containsText" dxfId="2027" priority="5312" operator="containsText" text="Small">
      <formula>NOT(ISERROR(SEARCH("Small",X21)))</formula>
    </cfRule>
    <cfRule type="containsText" dxfId="2026" priority="5313" operator="containsText" text="Mid">
      <formula>NOT(ISERROR(SEARCH("Mid",X21)))</formula>
    </cfRule>
    <cfRule type="containsText" dxfId="2025" priority="5314" operator="containsText" text="Large">
      <formula>NOT(ISERROR(SEARCH("Large",X21)))</formula>
    </cfRule>
  </conditionalFormatting>
  <conditionalFormatting sqref="X49">
    <cfRule type="containsText" dxfId="2024" priority="5207" operator="containsText" text="No Cap">
      <formula>NOT(ISERROR(SEARCH("No Cap",X49)))</formula>
    </cfRule>
  </conditionalFormatting>
  <conditionalFormatting sqref="X49">
    <cfRule type="containsText" dxfId="2023" priority="5206" operator="containsText" text="No Cap">
      <formula>NOT(ISERROR(SEARCH("No Cap",X49)))</formula>
    </cfRule>
  </conditionalFormatting>
  <conditionalFormatting sqref="X49">
    <cfRule type="containsText" dxfId="2022" priority="5203" operator="containsText" text="Small">
      <formula>NOT(ISERROR(SEARCH("Small",X49)))</formula>
    </cfRule>
    <cfRule type="containsText" dxfId="2021" priority="5204" operator="containsText" text="Mid">
      <formula>NOT(ISERROR(SEARCH("Mid",X49)))</formula>
    </cfRule>
    <cfRule type="containsText" dxfId="2020" priority="5205" operator="containsText" text="Large">
      <formula>NOT(ISERROR(SEARCH("Large",X49)))</formula>
    </cfRule>
  </conditionalFormatting>
  <conditionalFormatting sqref="X49">
    <cfRule type="containsText" dxfId="2019" priority="5200" operator="containsText" text="Small">
      <formula>NOT(ISERROR(SEARCH("Small",X49)))</formula>
    </cfRule>
    <cfRule type="containsText" dxfId="2018" priority="5201" operator="containsText" text="Mid">
      <formula>NOT(ISERROR(SEARCH("Mid",X49)))</formula>
    </cfRule>
    <cfRule type="containsText" dxfId="2017" priority="5202" operator="containsText" text="Large">
      <formula>NOT(ISERROR(SEARCH("Large",X49)))</formula>
    </cfRule>
  </conditionalFormatting>
  <conditionalFormatting sqref="X49">
    <cfRule type="containsText" dxfId="2016" priority="5197" operator="containsText" text="Small">
      <formula>NOT(ISERROR(SEARCH("Small",X49)))</formula>
    </cfRule>
    <cfRule type="containsText" dxfId="2015" priority="5198" operator="containsText" text="Mid">
      <formula>NOT(ISERROR(SEARCH("Mid",X49)))</formula>
    </cfRule>
    <cfRule type="containsText" dxfId="2014" priority="5199" operator="containsText" text="Large">
      <formula>NOT(ISERROR(SEARCH("Large",X49)))</formula>
    </cfRule>
  </conditionalFormatting>
  <conditionalFormatting sqref="X49">
    <cfRule type="containsText" dxfId="2013" priority="5196" operator="containsText" text="No Cap">
      <formula>NOT(ISERROR(SEARCH("No Cap",X49)))</formula>
    </cfRule>
  </conditionalFormatting>
  <conditionalFormatting sqref="X49">
    <cfRule type="containsText" dxfId="2012" priority="5195" operator="containsText" text="No Cap">
      <formula>NOT(ISERROR(SEARCH("No Cap",X49)))</formula>
    </cfRule>
  </conditionalFormatting>
  <conditionalFormatting sqref="X49">
    <cfRule type="containsText" dxfId="2011" priority="5192" operator="containsText" text="Small">
      <formula>NOT(ISERROR(SEARCH("Small",X49)))</formula>
    </cfRule>
    <cfRule type="containsText" dxfId="2010" priority="5193" operator="containsText" text="Mid">
      <formula>NOT(ISERROR(SEARCH("Mid",X49)))</formula>
    </cfRule>
    <cfRule type="containsText" dxfId="2009" priority="5194" operator="containsText" text="Large">
      <formula>NOT(ISERROR(SEARCH("Large",X49)))</formula>
    </cfRule>
  </conditionalFormatting>
  <conditionalFormatting sqref="X49">
    <cfRule type="containsText" dxfId="2008" priority="5189" operator="containsText" text="Small">
      <formula>NOT(ISERROR(SEARCH("Small",X49)))</formula>
    </cfRule>
    <cfRule type="containsText" dxfId="2007" priority="5190" operator="containsText" text="Mid">
      <formula>NOT(ISERROR(SEARCH("Mid",X49)))</formula>
    </cfRule>
    <cfRule type="containsText" dxfId="2006" priority="5191" operator="containsText" text="Large">
      <formula>NOT(ISERROR(SEARCH("Large",X49)))</formula>
    </cfRule>
  </conditionalFormatting>
  <conditionalFormatting sqref="X49">
    <cfRule type="containsText" dxfId="2005" priority="5186" operator="containsText" text="Small">
      <formula>NOT(ISERROR(SEARCH("Small",X49)))</formula>
    </cfRule>
    <cfRule type="containsText" dxfId="2004" priority="5187" operator="containsText" text="Mid">
      <formula>NOT(ISERROR(SEARCH("Mid",X49)))</formula>
    </cfRule>
    <cfRule type="containsText" dxfId="2003" priority="5188" operator="containsText" text="Large">
      <formula>NOT(ISERROR(SEARCH("Large",X49)))</formula>
    </cfRule>
  </conditionalFormatting>
  <conditionalFormatting sqref="X49">
    <cfRule type="containsText" dxfId="2002" priority="5185" operator="containsText" text="No Cap">
      <formula>NOT(ISERROR(SEARCH("No Cap",X49)))</formula>
    </cfRule>
  </conditionalFormatting>
  <conditionalFormatting sqref="X49">
    <cfRule type="containsText" dxfId="2001" priority="5184" operator="containsText" text="No Cap">
      <formula>NOT(ISERROR(SEARCH("No Cap",X49)))</formula>
    </cfRule>
  </conditionalFormatting>
  <conditionalFormatting sqref="X49">
    <cfRule type="containsText" dxfId="2000" priority="5181" operator="containsText" text="Small">
      <formula>NOT(ISERROR(SEARCH("Small",X49)))</formula>
    </cfRule>
    <cfRule type="containsText" dxfId="1999" priority="5182" operator="containsText" text="Mid">
      <formula>NOT(ISERROR(SEARCH("Mid",X49)))</formula>
    </cfRule>
    <cfRule type="containsText" dxfId="1998" priority="5183" operator="containsText" text="Large">
      <formula>NOT(ISERROR(SEARCH("Large",X49)))</formula>
    </cfRule>
  </conditionalFormatting>
  <conditionalFormatting sqref="X49">
    <cfRule type="containsText" dxfId="1997" priority="5178" operator="containsText" text="Small">
      <formula>NOT(ISERROR(SEARCH("Small",X49)))</formula>
    </cfRule>
    <cfRule type="containsText" dxfId="1996" priority="5179" operator="containsText" text="Mid">
      <formula>NOT(ISERROR(SEARCH("Mid",X49)))</formula>
    </cfRule>
    <cfRule type="containsText" dxfId="1995" priority="5180" operator="containsText" text="Large">
      <formula>NOT(ISERROR(SEARCH("Large",X49)))</formula>
    </cfRule>
  </conditionalFormatting>
  <conditionalFormatting sqref="X49">
    <cfRule type="containsText" dxfId="1994" priority="5175" operator="containsText" text="Small">
      <formula>NOT(ISERROR(SEARCH("Small",X49)))</formula>
    </cfRule>
    <cfRule type="containsText" dxfId="1993" priority="5176" operator="containsText" text="Mid">
      <formula>NOT(ISERROR(SEARCH("Mid",X49)))</formula>
    </cfRule>
    <cfRule type="containsText" dxfId="1992" priority="5177" operator="containsText" text="Large">
      <formula>NOT(ISERROR(SEARCH("Large",X49)))</formula>
    </cfRule>
  </conditionalFormatting>
  <conditionalFormatting sqref="X49">
    <cfRule type="containsText" dxfId="1991" priority="5174" operator="containsText" text="NA">
      <formula>NOT(ISERROR(SEARCH("NA",X49)))</formula>
    </cfRule>
  </conditionalFormatting>
  <conditionalFormatting sqref="X49">
    <cfRule type="containsText" dxfId="1990" priority="5171" operator="containsText" text="Small">
      <formula>NOT(ISERROR(SEARCH("Small",X49)))</formula>
    </cfRule>
    <cfRule type="containsText" dxfId="1989" priority="5172" operator="containsText" text="Mid">
      <formula>NOT(ISERROR(SEARCH("Mid",X49)))</formula>
    </cfRule>
    <cfRule type="containsText" dxfId="1988" priority="5173" operator="containsText" text="Large">
      <formula>NOT(ISERROR(SEARCH("Large",X49)))</formula>
    </cfRule>
  </conditionalFormatting>
  <conditionalFormatting sqref="X49">
    <cfRule type="containsText" dxfId="1987" priority="5168" operator="containsText" text="Small">
      <formula>NOT(ISERROR(SEARCH("Small",X49)))</formula>
    </cfRule>
    <cfRule type="containsText" dxfId="1986" priority="5169" operator="containsText" text="Mid">
      <formula>NOT(ISERROR(SEARCH("Mid",X49)))</formula>
    </cfRule>
    <cfRule type="containsText" dxfId="1985" priority="5170" operator="containsText" text="Large">
      <formula>NOT(ISERROR(SEARCH("Large",X49)))</formula>
    </cfRule>
  </conditionalFormatting>
  <conditionalFormatting sqref="X49">
    <cfRule type="containsText" dxfId="1984" priority="5165" operator="containsText" text="Small">
      <formula>NOT(ISERROR(SEARCH("Small",X49)))</formula>
    </cfRule>
    <cfRule type="containsText" dxfId="1983" priority="5166" operator="containsText" text="Mid">
      <formula>NOT(ISERROR(SEARCH("Mid",X49)))</formula>
    </cfRule>
    <cfRule type="containsText" dxfId="1982" priority="5167" operator="containsText" text="Large">
      <formula>NOT(ISERROR(SEARCH("Large",X49)))</formula>
    </cfRule>
  </conditionalFormatting>
  <conditionalFormatting sqref="X49">
    <cfRule type="containsText" dxfId="1981" priority="5162" operator="containsText" text="Small">
      <formula>NOT(ISERROR(SEARCH("Small",X49)))</formula>
    </cfRule>
    <cfRule type="containsText" dxfId="1980" priority="5163" operator="containsText" text="Mid">
      <formula>NOT(ISERROR(SEARCH("Mid",X49)))</formula>
    </cfRule>
    <cfRule type="containsText" dxfId="1979" priority="5164" operator="containsText" text="Large">
      <formula>NOT(ISERROR(SEARCH("Large",X49)))</formula>
    </cfRule>
  </conditionalFormatting>
  <conditionalFormatting sqref="X49">
    <cfRule type="containsText" dxfId="1978" priority="5159" operator="containsText" text="Small">
      <formula>NOT(ISERROR(SEARCH("Small",X49)))</formula>
    </cfRule>
    <cfRule type="containsText" dxfId="1977" priority="5160" operator="containsText" text="Mid">
      <formula>NOT(ISERROR(SEARCH("Mid",X49)))</formula>
    </cfRule>
    <cfRule type="containsText" dxfId="1976" priority="5161" operator="containsText" text="Large">
      <formula>NOT(ISERROR(SEARCH("Large",X49)))</formula>
    </cfRule>
  </conditionalFormatting>
  <conditionalFormatting sqref="X49">
    <cfRule type="containsText" dxfId="1975" priority="5156" operator="containsText" text="Small">
      <formula>NOT(ISERROR(SEARCH("Small",X49)))</formula>
    </cfRule>
    <cfRule type="containsText" dxfId="1974" priority="5157" operator="containsText" text="Mid">
      <formula>NOT(ISERROR(SEARCH("Mid",X49)))</formula>
    </cfRule>
    <cfRule type="containsText" dxfId="1973" priority="5158" operator="containsText" text="Large">
      <formula>NOT(ISERROR(SEARCH("Large",X49)))</formula>
    </cfRule>
  </conditionalFormatting>
  <conditionalFormatting sqref="X49">
    <cfRule type="containsText" dxfId="1972" priority="5153" operator="containsText" text="Small">
      <formula>NOT(ISERROR(SEARCH("Small",X49)))</formula>
    </cfRule>
    <cfRule type="containsText" dxfId="1971" priority="5154" operator="containsText" text="Mid">
      <formula>NOT(ISERROR(SEARCH("Mid",X49)))</formula>
    </cfRule>
    <cfRule type="containsText" dxfId="1970" priority="5155" operator="containsText" text="Large">
      <formula>NOT(ISERROR(SEARCH("Large",X49)))</formula>
    </cfRule>
  </conditionalFormatting>
  <conditionalFormatting sqref="X49">
    <cfRule type="containsText" dxfId="1969" priority="5150" operator="containsText" text="Small">
      <formula>NOT(ISERROR(SEARCH("Small",X49)))</formula>
    </cfRule>
    <cfRule type="containsText" dxfId="1968" priority="5151" operator="containsText" text="Mid">
      <formula>NOT(ISERROR(SEARCH("Mid",X49)))</formula>
    </cfRule>
    <cfRule type="containsText" dxfId="1967" priority="5152" operator="containsText" text="Large">
      <formula>NOT(ISERROR(SEARCH("Large",X49)))</formula>
    </cfRule>
  </conditionalFormatting>
  <conditionalFormatting sqref="X49">
    <cfRule type="containsText" dxfId="1966" priority="5147" operator="containsText" text="Small">
      <formula>NOT(ISERROR(SEARCH("Small",X49)))</formula>
    </cfRule>
    <cfRule type="containsText" dxfId="1965" priority="5148" operator="containsText" text="Mid">
      <formula>NOT(ISERROR(SEARCH("Mid",X49)))</formula>
    </cfRule>
    <cfRule type="containsText" dxfId="1964" priority="5149" operator="containsText" text="Large">
      <formula>NOT(ISERROR(SEARCH("Large",X49)))</formula>
    </cfRule>
  </conditionalFormatting>
  <conditionalFormatting sqref="X49">
    <cfRule type="containsText" dxfId="1963" priority="5144" operator="containsText" text="Small">
      <formula>NOT(ISERROR(SEARCH("Small",X49)))</formula>
    </cfRule>
    <cfRule type="containsText" dxfId="1962" priority="5145" operator="containsText" text="Mid">
      <formula>NOT(ISERROR(SEARCH("Mid",X49)))</formula>
    </cfRule>
    <cfRule type="containsText" dxfId="1961" priority="5146" operator="containsText" text="Large">
      <formula>NOT(ISERROR(SEARCH("Large",X49)))</formula>
    </cfRule>
  </conditionalFormatting>
  <conditionalFormatting sqref="X49">
    <cfRule type="containsText" dxfId="1960" priority="5141" operator="containsText" text="Small">
      <formula>NOT(ISERROR(SEARCH("Small",X49)))</formula>
    </cfRule>
    <cfRule type="containsText" dxfId="1959" priority="5142" operator="containsText" text="Mid">
      <formula>NOT(ISERROR(SEARCH("Mid",X49)))</formula>
    </cfRule>
    <cfRule type="containsText" dxfId="1958" priority="5143" operator="containsText" text="Large">
      <formula>NOT(ISERROR(SEARCH("Large",X49)))</formula>
    </cfRule>
  </conditionalFormatting>
  <conditionalFormatting sqref="X49">
    <cfRule type="containsText" dxfId="1957" priority="5138" operator="containsText" text="Small">
      <formula>NOT(ISERROR(SEARCH("Small",X49)))</formula>
    </cfRule>
    <cfRule type="containsText" dxfId="1956" priority="5139" operator="containsText" text="Mid">
      <formula>NOT(ISERROR(SEARCH("Mid",X49)))</formula>
    </cfRule>
    <cfRule type="containsText" dxfId="1955" priority="5140" operator="containsText" text="Large">
      <formula>NOT(ISERROR(SEARCH("Large",X49)))</formula>
    </cfRule>
  </conditionalFormatting>
  <conditionalFormatting sqref="X49">
    <cfRule type="containsText" dxfId="1954" priority="5135" operator="containsText" text="Small">
      <formula>NOT(ISERROR(SEARCH("Small",X49)))</formula>
    </cfRule>
    <cfRule type="containsText" dxfId="1953" priority="5136" operator="containsText" text="Mid">
      <formula>NOT(ISERROR(SEARCH("Mid",X49)))</formula>
    </cfRule>
    <cfRule type="containsText" dxfId="1952" priority="5137" operator="containsText" text="Large">
      <formula>NOT(ISERROR(SEARCH("Large",X49)))</formula>
    </cfRule>
  </conditionalFormatting>
  <conditionalFormatting sqref="X49">
    <cfRule type="containsText" dxfId="1951" priority="5132" operator="containsText" text="Small">
      <formula>NOT(ISERROR(SEARCH("Small",X49)))</formula>
    </cfRule>
    <cfRule type="containsText" dxfId="1950" priority="5133" operator="containsText" text="Mid">
      <formula>NOT(ISERROR(SEARCH("Mid",X49)))</formula>
    </cfRule>
    <cfRule type="containsText" dxfId="1949" priority="5134" operator="containsText" text="Large">
      <formula>NOT(ISERROR(SEARCH("Large",X49)))</formula>
    </cfRule>
  </conditionalFormatting>
  <conditionalFormatting sqref="X49">
    <cfRule type="containsText" dxfId="1948" priority="5129" operator="containsText" text="Small">
      <formula>NOT(ISERROR(SEARCH("Small",X49)))</formula>
    </cfRule>
    <cfRule type="containsText" dxfId="1947" priority="5130" operator="containsText" text="Mid">
      <formula>NOT(ISERROR(SEARCH("Mid",X49)))</formula>
    </cfRule>
    <cfRule type="containsText" dxfId="1946" priority="5131" operator="containsText" text="Large">
      <formula>NOT(ISERROR(SEARCH("Large",X49)))</formula>
    </cfRule>
  </conditionalFormatting>
  <conditionalFormatting sqref="X49">
    <cfRule type="containsText" dxfId="1945" priority="5126" operator="containsText" text="Small">
      <formula>NOT(ISERROR(SEARCH("Small",X49)))</formula>
    </cfRule>
    <cfRule type="containsText" dxfId="1944" priority="5127" operator="containsText" text="Mid">
      <formula>NOT(ISERROR(SEARCH("Mid",X49)))</formula>
    </cfRule>
    <cfRule type="containsText" dxfId="1943" priority="5128" operator="containsText" text="Large">
      <formula>NOT(ISERROR(SEARCH("Large",X49)))</formula>
    </cfRule>
  </conditionalFormatting>
  <conditionalFormatting sqref="X49">
    <cfRule type="containsText" dxfId="1942" priority="5123" operator="containsText" text="Small">
      <formula>NOT(ISERROR(SEARCH("Small",X49)))</formula>
    </cfRule>
    <cfRule type="containsText" dxfId="1941" priority="5124" operator="containsText" text="Mid">
      <formula>NOT(ISERROR(SEARCH("Mid",X49)))</formula>
    </cfRule>
    <cfRule type="containsText" dxfId="1940" priority="5125" operator="containsText" text="Large">
      <formula>NOT(ISERROR(SEARCH("Large",X49)))</formula>
    </cfRule>
  </conditionalFormatting>
  <conditionalFormatting sqref="X49">
    <cfRule type="containsText" dxfId="1939" priority="5120" operator="containsText" text="Small">
      <formula>NOT(ISERROR(SEARCH("Small",X49)))</formula>
    </cfRule>
    <cfRule type="containsText" dxfId="1938" priority="5121" operator="containsText" text="Mid">
      <formula>NOT(ISERROR(SEARCH("Mid",X49)))</formula>
    </cfRule>
    <cfRule type="containsText" dxfId="1937" priority="5122" operator="containsText" text="Large">
      <formula>NOT(ISERROR(SEARCH("Large",X49)))</formula>
    </cfRule>
  </conditionalFormatting>
  <conditionalFormatting sqref="X49">
    <cfRule type="containsText" dxfId="1936" priority="5117" operator="containsText" text="Small">
      <formula>NOT(ISERROR(SEARCH("Small",X49)))</formula>
    </cfRule>
    <cfRule type="containsText" dxfId="1935" priority="5118" operator="containsText" text="Mid">
      <formula>NOT(ISERROR(SEARCH("Mid",X49)))</formula>
    </cfRule>
    <cfRule type="containsText" dxfId="1934" priority="5119" operator="containsText" text="Large">
      <formula>NOT(ISERROR(SEARCH("Large",X49)))</formula>
    </cfRule>
  </conditionalFormatting>
  <conditionalFormatting sqref="X49">
    <cfRule type="containsText" dxfId="1933" priority="5114" operator="containsText" text="Small">
      <formula>NOT(ISERROR(SEARCH("Small",X49)))</formula>
    </cfRule>
    <cfRule type="containsText" dxfId="1932" priority="5115" operator="containsText" text="Mid">
      <formula>NOT(ISERROR(SEARCH("Mid",X49)))</formula>
    </cfRule>
    <cfRule type="containsText" dxfId="1931" priority="5116" operator="containsText" text="Large">
      <formula>NOT(ISERROR(SEARCH("Large",X49)))</formula>
    </cfRule>
  </conditionalFormatting>
  <conditionalFormatting sqref="X49">
    <cfRule type="containsText" dxfId="1930" priority="5111" operator="containsText" text="Small">
      <formula>NOT(ISERROR(SEARCH("Small",X49)))</formula>
    </cfRule>
    <cfRule type="containsText" dxfId="1929" priority="5112" operator="containsText" text="Mid">
      <formula>NOT(ISERROR(SEARCH("Mid",X49)))</formula>
    </cfRule>
    <cfRule type="containsText" dxfId="1928" priority="5113" operator="containsText" text="Large">
      <formula>NOT(ISERROR(SEARCH("Large",X49)))</formula>
    </cfRule>
  </conditionalFormatting>
  <conditionalFormatting sqref="X49">
    <cfRule type="containsText" dxfId="1927" priority="5108" operator="containsText" text="Small">
      <formula>NOT(ISERROR(SEARCH("Small",X49)))</formula>
    </cfRule>
    <cfRule type="containsText" dxfId="1926" priority="5109" operator="containsText" text="Mid">
      <formula>NOT(ISERROR(SEARCH("Mid",X49)))</formula>
    </cfRule>
    <cfRule type="containsText" dxfId="1925" priority="5110" operator="containsText" text="Large">
      <formula>NOT(ISERROR(SEARCH("Large",X49)))</formula>
    </cfRule>
  </conditionalFormatting>
  <conditionalFormatting sqref="X49">
    <cfRule type="containsText" dxfId="1924" priority="5105" operator="containsText" text="Small">
      <formula>NOT(ISERROR(SEARCH("Small",X49)))</formula>
    </cfRule>
    <cfRule type="containsText" dxfId="1923" priority="5106" operator="containsText" text="Mid">
      <formula>NOT(ISERROR(SEARCH("Mid",X49)))</formula>
    </cfRule>
    <cfRule type="containsText" dxfId="1922" priority="5107" operator="containsText" text="Large">
      <formula>NOT(ISERROR(SEARCH("Large",X49)))</formula>
    </cfRule>
  </conditionalFormatting>
  <conditionalFormatting sqref="X49">
    <cfRule type="containsText" dxfId="1921" priority="5102" operator="containsText" text="Small">
      <formula>NOT(ISERROR(SEARCH("Small",X49)))</formula>
    </cfRule>
    <cfRule type="containsText" dxfId="1920" priority="5103" operator="containsText" text="Mid">
      <formula>NOT(ISERROR(SEARCH("Mid",X49)))</formula>
    </cfRule>
    <cfRule type="containsText" dxfId="1919" priority="5104" operator="containsText" text="Large">
      <formula>NOT(ISERROR(SEARCH("Large",X49)))</formula>
    </cfRule>
  </conditionalFormatting>
  <conditionalFormatting sqref="X49">
    <cfRule type="containsText" dxfId="1918" priority="5099" operator="containsText" text="Small">
      <formula>NOT(ISERROR(SEARCH("Small",X49)))</formula>
    </cfRule>
    <cfRule type="containsText" dxfId="1917" priority="5100" operator="containsText" text="Mid">
      <formula>NOT(ISERROR(SEARCH("Mid",X49)))</formula>
    </cfRule>
    <cfRule type="containsText" dxfId="1916" priority="5101" operator="containsText" text="Large">
      <formula>NOT(ISERROR(SEARCH("Large",X49)))</formula>
    </cfRule>
  </conditionalFormatting>
  <conditionalFormatting sqref="X49">
    <cfRule type="containsText" dxfId="1915" priority="5096" operator="containsText" text="Small">
      <formula>NOT(ISERROR(SEARCH("Small",X49)))</formula>
    </cfRule>
    <cfRule type="containsText" dxfId="1914" priority="5097" operator="containsText" text="Mid">
      <formula>NOT(ISERROR(SEARCH("Mid",X49)))</formula>
    </cfRule>
    <cfRule type="containsText" dxfId="1913" priority="5098" operator="containsText" text="Large">
      <formula>NOT(ISERROR(SEARCH("Large",X49)))</formula>
    </cfRule>
  </conditionalFormatting>
  <conditionalFormatting sqref="X49">
    <cfRule type="containsText" dxfId="1912" priority="5093" operator="containsText" text="Small">
      <formula>NOT(ISERROR(SEARCH("Small",X49)))</formula>
    </cfRule>
    <cfRule type="containsText" dxfId="1911" priority="5094" operator="containsText" text="Mid">
      <formula>NOT(ISERROR(SEARCH("Mid",X49)))</formula>
    </cfRule>
    <cfRule type="containsText" dxfId="1910" priority="5095" operator="containsText" text="Large">
      <formula>NOT(ISERROR(SEARCH("Large",X49)))</formula>
    </cfRule>
  </conditionalFormatting>
  <conditionalFormatting sqref="C35">
    <cfRule type="containsText" dxfId="1909" priority="4827" operator="containsText" text="Small">
      <formula>NOT(ISERROR(SEARCH("Small",C35)))</formula>
    </cfRule>
    <cfRule type="containsText" dxfId="1908" priority="4828" operator="containsText" text="Mid">
      <formula>NOT(ISERROR(SEARCH("Mid",C35)))</formula>
    </cfRule>
    <cfRule type="containsText" dxfId="1907" priority="4829" operator="containsText" text="Large">
      <formula>NOT(ISERROR(SEARCH("Large",C35)))</formula>
    </cfRule>
  </conditionalFormatting>
  <conditionalFormatting sqref="X21">
    <cfRule type="containsText" dxfId="1906" priority="4375" operator="containsText" text="Small">
      <formula>NOT(ISERROR(SEARCH("Small",X21)))</formula>
    </cfRule>
    <cfRule type="containsText" dxfId="1905" priority="4376" operator="containsText" text="Mid">
      <formula>NOT(ISERROR(SEARCH("Mid",X21)))</formula>
    </cfRule>
    <cfRule type="containsText" dxfId="1904" priority="4377" operator="containsText" text="Large">
      <formula>NOT(ISERROR(SEARCH("Large",X21)))</formula>
    </cfRule>
  </conditionalFormatting>
  <conditionalFormatting sqref="X21">
    <cfRule type="containsText" dxfId="1903" priority="4372" operator="containsText" text="Small">
      <formula>NOT(ISERROR(SEARCH("Small",X21)))</formula>
    </cfRule>
    <cfRule type="containsText" dxfId="1902" priority="4373" operator="containsText" text="Mid">
      <formula>NOT(ISERROR(SEARCH("Mid",X21)))</formula>
    </cfRule>
    <cfRule type="containsText" dxfId="1901" priority="4374" operator="containsText" text="Large">
      <formula>NOT(ISERROR(SEARCH("Large",X21)))</formula>
    </cfRule>
  </conditionalFormatting>
  <conditionalFormatting sqref="X21">
    <cfRule type="containsText" dxfId="1900" priority="4369" operator="containsText" text="Small">
      <formula>NOT(ISERROR(SEARCH("Small",X21)))</formula>
    </cfRule>
    <cfRule type="containsText" dxfId="1899" priority="4370" operator="containsText" text="Mid">
      <formula>NOT(ISERROR(SEARCH("Mid",X21)))</formula>
    </cfRule>
    <cfRule type="containsText" dxfId="1898" priority="4371" operator="containsText" text="Large">
      <formula>NOT(ISERROR(SEARCH("Large",X21)))</formula>
    </cfRule>
  </conditionalFormatting>
  <conditionalFormatting sqref="C49">
    <cfRule type="containsText" dxfId="1897" priority="4812" operator="containsText" text="Small">
      <formula>NOT(ISERROR(SEARCH("Small",C49)))</formula>
    </cfRule>
    <cfRule type="containsText" dxfId="1896" priority="4813" operator="containsText" text="Mid">
      <formula>NOT(ISERROR(SEARCH("Mid",C49)))</formula>
    </cfRule>
    <cfRule type="containsText" dxfId="1895" priority="4814" operator="containsText" text="Large">
      <formula>NOT(ISERROR(SEARCH("Large",C49)))</formula>
    </cfRule>
  </conditionalFormatting>
  <conditionalFormatting sqref="C49">
    <cfRule type="containsText" dxfId="1894" priority="4809" operator="containsText" text="Small">
      <formula>NOT(ISERROR(SEARCH("Small",C49)))</formula>
    </cfRule>
    <cfRule type="containsText" dxfId="1893" priority="4810" operator="containsText" text="Mid">
      <formula>NOT(ISERROR(SEARCH("Mid",C49)))</formula>
    </cfRule>
    <cfRule type="containsText" dxfId="1892" priority="4811" operator="containsText" text="Large">
      <formula>NOT(ISERROR(SEARCH("Large",C49)))</formula>
    </cfRule>
  </conditionalFormatting>
  <conditionalFormatting sqref="C49">
    <cfRule type="containsText" dxfId="1891" priority="4806" operator="containsText" text="Small">
      <formula>NOT(ISERROR(SEARCH("Small",C49)))</formula>
    </cfRule>
    <cfRule type="containsText" dxfId="1890" priority="4807" operator="containsText" text="Mid">
      <formula>NOT(ISERROR(SEARCH("Mid",C49)))</formula>
    </cfRule>
    <cfRule type="containsText" dxfId="1889" priority="4808" operator="containsText" text="Large">
      <formula>NOT(ISERROR(SEARCH("Large",C49)))</formula>
    </cfRule>
  </conditionalFormatting>
  <conditionalFormatting sqref="C49">
    <cfRule type="containsText" dxfId="1888" priority="4803" operator="containsText" text="Small">
      <formula>NOT(ISERROR(SEARCH("Small",C49)))</formula>
    </cfRule>
    <cfRule type="containsText" dxfId="1887" priority="4804" operator="containsText" text="Mid">
      <formula>NOT(ISERROR(SEARCH("Mid",C49)))</formula>
    </cfRule>
    <cfRule type="containsText" dxfId="1886" priority="4805" operator="containsText" text="Large">
      <formula>NOT(ISERROR(SEARCH("Large",C49)))</formula>
    </cfRule>
  </conditionalFormatting>
  <conditionalFormatting sqref="C49">
    <cfRule type="containsText" dxfId="1885" priority="4800" operator="containsText" text="Small">
      <formula>NOT(ISERROR(SEARCH("Small",C49)))</formula>
    </cfRule>
    <cfRule type="containsText" dxfId="1884" priority="4801" operator="containsText" text="Mid">
      <formula>NOT(ISERROR(SEARCH("Mid",C49)))</formula>
    </cfRule>
    <cfRule type="containsText" dxfId="1883" priority="4802" operator="containsText" text="Large">
      <formula>NOT(ISERROR(SEARCH("Large",C49)))</formula>
    </cfRule>
  </conditionalFormatting>
  <conditionalFormatting sqref="C49">
    <cfRule type="containsText" dxfId="1882" priority="4797" operator="containsText" text="Small">
      <formula>NOT(ISERROR(SEARCH("Small",C49)))</formula>
    </cfRule>
    <cfRule type="containsText" dxfId="1881" priority="4798" operator="containsText" text="Mid">
      <formula>NOT(ISERROR(SEARCH("Mid",C49)))</formula>
    </cfRule>
    <cfRule type="containsText" dxfId="1880" priority="4799" operator="containsText" text="Large">
      <formula>NOT(ISERROR(SEARCH("Large",C49)))</formula>
    </cfRule>
  </conditionalFormatting>
  <conditionalFormatting sqref="C49">
    <cfRule type="containsText" dxfId="1879" priority="4794" operator="containsText" text="Small">
      <formula>NOT(ISERROR(SEARCH("Small",C49)))</formula>
    </cfRule>
    <cfRule type="containsText" dxfId="1878" priority="4795" operator="containsText" text="Mid">
      <formula>NOT(ISERROR(SEARCH("Mid",C49)))</formula>
    </cfRule>
    <cfRule type="containsText" dxfId="1877" priority="4796" operator="containsText" text="Large">
      <formula>NOT(ISERROR(SEARCH("Large",C49)))</formula>
    </cfRule>
  </conditionalFormatting>
  <conditionalFormatting sqref="C49">
    <cfRule type="containsText" dxfId="1876" priority="4791" operator="containsText" text="Small">
      <formula>NOT(ISERROR(SEARCH("Small",C49)))</formula>
    </cfRule>
    <cfRule type="containsText" dxfId="1875" priority="4792" operator="containsText" text="Mid">
      <formula>NOT(ISERROR(SEARCH("Mid",C49)))</formula>
    </cfRule>
    <cfRule type="containsText" dxfId="1874" priority="4793" operator="containsText" text="Large">
      <formula>NOT(ISERROR(SEARCH("Large",C49)))</formula>
    </cfRule>
  </conditionalFormatting>
  <conditionalFormatting sqref="C49">
    <cfRule type="containsText" dxfId="1873" priority="4788" operator="containsText" text="Small">
      <formula>NOT(ISERROR(SEARCH("Small",C49)))</formula>
    </cfRule>
    <cfRule type="containsText" dxfId="1872" priority="4789" operator="containsText" text="Mid">
      <formula>NOT(ISERROR(SEARCH("Mid",C49)))</formula>
    </cfRule>
    <cfRule type="containsText" dxfId="1871" priority="4790" operator="containsText" text="Large">
      <formula>NOT(ISERROR(SEARCH("Large",C49)))</formula>
    </cfRule>
  </conditionalFormatting>
  <conditionalFormatting sqref="C49">
    <cfRule type="containsText" dxfId="1870" priority="4785" operator="containsText" text="Small">
      <formula>NOT(ISERROR(SEARCH("Small",C49)))</formula>
    </cfRule>
    <cfRule type="containsText" dxfId="1869" priority="4786" operator="containsText" text="Mid">
      <formula>NOT(ISERROR(SEARCH("Mid",C49)))</formula>
    </cfRule>
    <cfRule type="containsText" dxfId="1868" priority="4787" operator="containsText" text="Large">
      <formula>NOT(ISERROR(SEARCH("Large",C49)))</formula>
    </cfRule>
  </conditionalFormatting>
  <conditionalFormatting sqref="J21">
    <cfRule type="containsText" dxfId="1867" priority="4782" operator="containsText" text="Small">
      <formula>NOT(ISERROR(SEARCH("Small",J21)))</formula>
    </cfRule>
    <cfRule type="containsText" dxfId="1866" priority="4783" operator="containsText" text="Mid">
      <formula>NOT(ISERROR(SEARCH("Mid",J21)))</formula>
    </cfRule>
    <cfRule type="containsText" dxfId="1865" priority="4784" operator="containsText" text="Large">
      <formula>NOT(ISERROR(SEARCH("Large",J21)))</formula>
    </cfRule>
  </conditionalFormatting>
  <conditionalFormatting sqref="J35">
    <cfRule type="containsText" dxfId="1864" priority="4779" operator="containsText" text="Small">
      <formula>NOT(ISERROR(SEARCH("Small",J35)))</formula>
    </cfRule>
    <cfRule type="containsText" dxfId="1863" priority="4780" operator="containsText" text="Mid">
      <formula>NOT(ISERROR(SEARCH("Mid",J35)))</formula>
    </cfRule>
    <cfRule type="containsText" dxfId="1862" priority="4781" operator="containsText" text="Large">
      <formula>NOT(ISERROR(SEARCH("Large",J35)))</formula>
    </cfRule>
  </conditionalFormatting>
  <conditionalFormatting sqref="J49">
    <cfRule type="containsText" dxfId="1861" priority="4776" operator="containsText" text="Small">
      <formula>NOT(ISERROR(SEARCH("Small",J49)))</formula>
    </cfRule>
    <cfRule type="containsText" dxfId="1860" priority="4777" operator="containsText" text="Mid">
      <formula>NOT(ISERROR(SEARCH("Mid",J49)))</formula>
    </cfRule>
    <cfRule type="containsText" dxfId="1859" priority="4778" operator="containsText" text="Large">
      <formula>NOT(ISERROR(SEARCH("Large",J49)))</formula>
    </cfRule>
  </conditionalFormatting>
  <conditionalFormatting sqref="J35">
    <cfRule type="containsText" dxfId="1858" priority="4773" operator="containsText" text="Small">
      <formula>NOT(ISERROR(SEARCH("Small",J35)))</formula>
    </cfRule>
    <cfRule type="containsText" dxfId="1857" priority="4774" operator="containsText" text="Mid">
      <formula>NOT(ISERROR(SEARCH("Mid",J35)))</formula>
    </cfRule>
    <cfRule type="containsText" dxfId="1856" priority="4775" operator="containsText" text="Large">
      <formula>NOT(ISERROR(SEARCH("Large",J35)))</formula>
    </cfRule>
  </conditionalFormatting>
  <conditionalFormatting sqref="J49">
    <cfRule type="containsText" dxfId="1855" priority="4770" operator="containsText" text="Small">
      <formula>NOT(ISERROR(SEARCH("Small",J49)))</formula>
    </cfRule>
    <cfRule type="containsText" dxfId="1854" priority="4771" operator="containsText" text="Mid">
      <formula>NOT(ISERROR(SEARCH("Mid",J49)))</formula>
    </cfRule>
    <cfRule type="containsText" dxfId="1853" priority="4772" operator="containsText" text="Large">
      <formula>NOT(ISERROR(SEARCH("Large",J49)))</formula>
    </cfRule>
  </conditionalFormatting>
  <conditionalFormatting sqref="J49">
    <cfRule type="containsText" dxfId="1852" priority="4767" operator="containsText" text="Small">
      <formula>NOT(ISERROR(SEARCH("Small",J49)))</formula>
    </cfRule>
    <cfRule type="containsText" dxfId="1851" priority="4768" operator="containsText" text="Mid">
      <formula>NOT(ISERROR(SEARCH("Mid",J49)))</formula>
    </cfRule>
    <cfRule type="containsText" dxfId="1850" priority="4769" operator="containsText" text="Large">
      <formula>NOT(ISERROR(SEARCH("Large",J49)))</formula>
    </cfRule>
  </conditionalFormatting>
  <conditionalFormatting sqref="J35">
    <cfRule type="containsText" dxfId="1849" priority="4755" operator="containsText" text="Small">
      <formula>NOT(ISERROR(SEARCH("Small",J35)))</formula>
    </cfRule>
    <cfRule type="containsText" dxfId="1848" priority="4756" operator="containsText" text="Mid">
      <formula>NOT(ISERROR(SEARCH("Mid",J35)))</formula>
    </cfRule>
    <cfRule type="containsText" dxfId="1847" priority="4757" operator="containsText" text="Large">
      <formula>NOT(ISERROR(SEARCH("Large",J35)))</formula>
    </cfRule>
  </conditionalFormatting>
  <conditionalFormatting sqref="J49">
    <cfRule type="containsText" dxfId="1846" priority="4752" operator="containsText" text="Small">
      <formula>NOT(ISERROR(SEARCH("Small",J49)))</formula>
    </cfRule>
    <cfRule type="containsText" dxfId="1845" priority="4753" operator="containsText" text="Mid">
      <formula>NOT(ISERROR(SEARCH("Mid",J49)))</formula>
    </cfRule>
    <cfRule type="containsText" dxfId="1844" priority="4754" operator="containsText" text="Large">
      <formula>NOT(ISERROR(SEARCH("Large",J49)))</formula>
    </cfRule>
  </conditionalFormatting>
  <conditionalFormatting sqref="J49">
    <cfRule type="containsText" dxfId="1843" priority="4749" operator="containsText" text="Small">
      <formula>NOT(ISERROR(SEARCH("Small",J49)))</formula>
    </cfRule>
    <cfRule type="containsText" dxfId="1842" priority="4750" operator="containsText" text="Mid">
      <formula>NOT(ISERROR(SEARCH("Mid",J49)))</formula>
    </cfRule>
    <cfRule type="containsText" dxfId="1841" priority="4751" operator="containsText" text="Large">
      <formula>NOT(ISERROR(SEARCH("Large",J49)))</formula>
    </cfRule>
  </conditionalFormatting>
  <conditionalFormatting sqref="J49">
    <cfRule type="containsText" dxfId="1840" priority="4746" operator="containsText" text="Small">
      <formula>NOT(ISERROR(SEARCH("Small",J49)))</formula>
    </cfRule>
    <cfRule type="containsText" dxfId="1839" priority="4747" operator="containsText" text="Mid">
      <formula>NOT(ISERROR(SEARCH("Mid",J49)))</formula>
    </cfRule>
    <cfRule type="containsText" dxfId="1838" priority="4748" operator="containsText" text="Large">
      <formula>NOT(ISERROR(SEARCH("Large",J49)))</formula>
    </cfRule>
  </conditionalFormatting>
  <conditionalFormatting sqref="J35">
    <cfRule type="containsText" dxfId="1837" priority="4725" operator="containsText" text="Small">
      <formula>NOT(ISERROR(SEARCH("Small",J35)))</formula>
    </cfRule>
    <cfRule type="containsText" dxfId="1836" priority="4726" operator="containsText" text="Mid">
      <formula>NOT(ISERROR(SEARCH("Mid",J35)))</formula>
    </cfRule>
    <cfRule type="containsText" dxfId="1835" priority="4727" operator="containsText" text="Large">
      <formula>NOT(ISERROR(SEARCH("Large",J35)))</formula>
    </cfRule>
  </conditionalFormatting>
  <conditionalFormatting sqref="J49">
    <cfRule type="containsText" dxfId="1834" priority="4722" operator="containsText" text="Small">
      <formula>NOT(ISERROR(SEARCH("Small",J49)))</formula>
    </cfRule>
    <cfRule type="containsText" dxfId="1833" priority="4723" operator="containsText" text="Mid">
      <formula>NOT(ISERROR(SEARCH("Mid",J49)))</formula>
    </cfRule>
    <cfRule type="containsText" dxfId="1832" priority="4724" operator="containsText" text="Large">
      <formula>NOT(ISERROR(SEARCH("Large",J49)))</formula>
    </cfRule>
  </conditionalFormatting>
  <conditionalFormatting sqref="J49">
    <cfRule type="containsText" dxfId="1831" priority="4719" operator="containsText" text="Small">
      <formula>NOT(ISERROR(SEARCH("Small",J49)))</formula>
    </cfRule>
    <cfRule type="containsText" dxfId="1830" priority="4720" operator="containsText" text="Mid">
      <formula>NOT(ISERROR(SEARCH("Mid",J49)))</formula>
    </cfRule>
    <cfRule type="containsText" dxfId="1829" priority="4721" operator="containsText" text="Large">
      <formula>NOT(ISERROR(SEARCH("Large",J49)))</formula>
    </cfRule>
  </conditionalFormatting>
  <conditionalFormatting sqref="J49">
    <cfRule type="containsText" dxfId="1828" priority="4716" operator="containsText" text="Small">
      <formula>NOT(ISERROR(SEARCH("Small",J49)))</formula>
    </cfRule>
    <cfRule type="containsText" dxfId="1827" priority="4717" operator="containsText" text="Mid">
      <formula>NOT(ISERROR(SEARCH("Mid",J49)))</formula>
    </cfRule>
    <cfRule type="containsText" dxfId="1826" priority="4718" operator="containsText" text="Large">
      <formula>NOT(ISERROR(SEARCH("Large",J49)))</formula>
    </cfRule>
  </conditionalFormatting>
  <conditionalFormatting sqref="J49">
    <cfRule type="containsText" dxfId="1825" priority="4713" operator="containsText" text="Small">
      <formula>NOT(ISERROR(SEARCH("Small",J49)))</formula>
    </cfRule>
    <cfRule type="containsText" dxfId="1824" priority="4714" operator="containsText" text="Mid">
      <formula>NOT(ISERROR(SEARCH("Mid",J49)))</formula>
    </cfRule>
    <cfRule type="containsText" dxfId="1823" priority="4715" operator="containsText" text="Large">
      <formula>NOT(ISERROR(SEARCH("Large",J49)))</formula>
    </cfRule>
  </conditionalFormatting>
  <conditionalFormatting sqref="Q21">
    <cfRule type="containsText" dxfId="1822" priority="4680" operator="containsText" text="Small">
      <formula>NOT(ISERROR(SEARCH("Small",Q21)))</formula>
    </cfRule>
    <cfRule type="containsText" dxfId="1821" priority="4681" operator="containsText" text="Mid">
      <formula>NOT(ISERROR(SEARCH("Mid",Q21)))</formula>
    </cfRule>
    <cfRule type="containsText" dxfId="1820" priority="4682" operator="containsText" text="Large">
      <formula>NOT(ISERROR(SEARCH("Large",Q21)))</formula>
    </cfRule>
  </conditionalFormatting>
  <conditionalFormatting sqref="Q21">
    <cfRule type="containsText" dxfId="1819" priority="4677" operator="containsText" text="Small">
      <formula>NOT(ISERROR(SEARCH("Small",Q21)))</formula>
    </cfRule>
    <cfRule type="containsText" dxfId="1818" priority="4678" operator="containsText" text="Mid">
      <formula>NOT(ISERROR(SEARCH("Mid",Q21)))</formula>
    </cfRule>
    <cfRule type="containsText" dxfId="1817" priority="4679" operator="containsText" text="Large">
      <formula>NOT(ISERROR(SEARCH("Large",Q21)))</formula>
    </cfRule>
  </conditionalFormatting>
  <conditionalFormatting sqref="Q21">
    <cfRule type="containsText" dxfId="1816" priority="4674" operator="containsText" text="Small">
      <formula>NOT(ISERROR(SEARCH("Small",Q21)))</formula>
    </cfRule>
    <cfRule type="containsText" dxfId="1815" priority="4675" operator="containsText" text="Mid">
      <formula>NOT(ISERROR(SEARCH("Mid",Q21)))</formula>
    </cfRule>
    <cfRule type="containsText" dxfId="1814" priority="4676" operator="containsText" text="Large">
      <formula>NOT(ISERROR(SEARCH("Large",Q21)))</formula>
    </cfRule>
  </conditionalFormatting>
  <conditionalFormatting sqref="Q35">
    <cfRule type="containsText" dxfId="1813" priority="4671" operator="containsText" text="Small">
      <formula>NOT(ISERROR(SEARCH("Small",Q35)))</formula>
    </cfRule>
    <cfRule type="containsText" dxfId="1812" priority="4672" operator="containsText" text="Mid">
      <formula>NOT(ISERROR(SEARCH("Mid",Q35)))</formula>
    </cfRule>
    <cfRule type="containsText" dxfId="1811" priority="4673" operator="containsText" text="Large">
      <formula>NOT(ISERROR(SEARCH("Large",Q35)))</formula>
    </cfRule>
  </conditionalFormatting>
  <conditionalFormatting sqref="Q35">
    <cfRule type="containsText" dxfId="1810" priority="4668" operator="containsText" text="Small">
      <formula>NOT(ISERROR(SEARCH("Small",Q35)))</formula>
    </cfRule>
    <cfRule type="containsText" dxfId="1809" priority="4669" operator="containsText" text="Mid">
      <formula>NOT(ISERROR(SEARCH("Mid",Q35)))</formula>
    </cfRule>
    <cfRule type="containsText" dxfId="1808" priority="4670" operator="containsText" text="Large">
      <formula>NOT(ISERROR(SEARCH("Large",Q35)))</formula>
    </cfRule>
  </conditionalFormatting>
  <conditionalFormatting sqref="Q35">
    <cfRule type="containsText" dxfId="1807" priority="4665" operator="containsText" text="Small">
      <formula>NOT(ISERROR(SEARCH("Small",Q35)))</formula>
    </cfRule>
    <cfRule type="containsText" dxfId="1806" priority="4666" operator="containsText" text="Mid">
      <formula>NOT(ISERROR(SEARCH("Mid",Q35)))</formula>
    </cfRule>
    <cfRule type="containsText" dxfId="1805" priority="4667" operator="containsText" text="Large">
      <formula>NOT(ISERROR(SEARCH("Large",Q35)))</formula>
    </cfRule>
  </conditionalFormatting>
  <conditionalFormatting sqref="Q35">
    <cfRule type="containsText" dxfId="1804" priority="4617" operator="containsText" text="Small">
      <formula>NOT(ISERROR(SEARCH("Small",Q35)))</formula>
    </cfRule>
    <cfRule type="containsText" dxfId="1803" priority="4618" operator="containsText" text="Mid">
      <formula>NOT(ISERROR(SEARCH("Mid",Q35)))</formula>
    </cfRule>
    <cfRule type="containsText" dxfId="1802" priority="4619" operator="containsText" text="Large">
      <formula>NOT(ISERROR(SEARCH("Large",Q35)))</formula>
    </cfRule>
  </conditionalFormatting>
  <conditionalFormatting sqref="Q35">
    <cfRule type="containsText" dxfId="1801" priority="4614" operator="containsText" text="Small">
      <formula>NOT(ISERROR(SEARCH("Small",Q35)))</formula>
    </cfRule>
    <cfRule type="containsText" dxfId="1800" priority="4615" operator="containsText" text="Mid">
      <formula>NOT(ISERROR(SEARCH("Mid",Q35)))</formula>
    </cfRule>
    <cfRule type="containsText" dxfId="1799" priority="4616" operator="containsText" text="Large">
      <formula>NOT(ISERROR(SEARCH("Large",Q35)))</formula>
    </cfRule>
  </conditionalFormatting>
  <conditionalFormatting sqref="Q35">
    <cfRule type="containsText" dxfId="1798" priority="4611" operator="containsText" text="Small">
      <formula>NOT(ISERROR(SEARCH("Small",Q35)))</formula>
    </cfRule>
    <cfRule type="containsText" dxfId="1797" priority="4612" operator="containsText" text="Mid">
      <formula>NOT(ISERROR(SEARCH("Mid",Q35)))</formula>
    </cfRule>
    <cfRule type="containsText" dxfId="1796" priority="4613" operator="containsText" text="Large">
      <formula>NOT(ISERROR(SEARCH("Large",Q35)))</formula>
    </cfRule>
  </conditionalFormatting>
  <conditionalFormatting sqref="Q35">
    <cfRule type="containsText" dxfId="1795" priority="4608" operator="containsText" text="Small">
      <formula>NOT(ISERROR(SEARCH("Small",Q35)))</formula>
    </cfRule>
    <cfRule type="containsText" dxfId="1794" priority="4609" operator="containsText" text="Mid">
      <formula>NOT(ISERROR(SEARCH("Mid",Q35)))</formula>
    </cfRule>
    <cfRule type="containsText" dxfId="1793" priority="4610" operator="containsText" text="Large">
      <formula>NOT(ISERROR(SEARCH("Large",Q35)))</formula>
    </cfRule>
  </conditionalFormatting>
  <conditionalFormatting sqref="Q35">
    <cfRule type="containsText" dxfId="1792" priority="4605" operator="containsText" text="Small">
      <formula>NOT(ISERROR(SEARCH("Small",Q35)))</formula>
    </cfRule>
    <cfRule type="containsText" dxfId="1791" priority="4606" operator="containsText" text="Mid">
      <formula>NOT(ISERROR(SEARCH("Mid",Q35)))</formula>
    </cfRule>
    <cfRule type="containsText" dxfId="1790" priority="4607" operator="containsText" text="Large">
      <formula>NOT(ISERROR(SEARCH("Large",Q35)))</formula>
    </cfRule>
  </conditionalFormatting>
  <conditionalFormatting sqref="Q35">
    <cfRule type="containsText" dxfId="1789" priority="4602" operator="containsText" text="Small">
      <formula>NOT(ISERROR(SEARCH("Small",Q35)))</formula>
    </cfRule>
    <cfRule type="containsText" dxfId="1788" priority="4603" operator="containsText" text="Mid">
      <formula>NOT(ISERROR(SEARCH("Mid",Q35)))</formula>
    </cfRule>
    <cfRule type="containsText" dxfId="1787" priority="4604" operator="containsText" text="Large">
      <formula>NOT(ISERROR(SEARCH("Large",Q35)))</formula>
    </cfRule>
  </conditionalFormatting>
  <conditionalFormatting sqref="Q35">
    <cfRule type="containsText" dxfId="1786" priority="4599" operator="containsText" text="Small">
      <formula>NOT(ISERROR(SEARCH("Small",Q35)))</formula>
    </cfRule>
    <cfRule type="containsText" dxfId="1785" priority="4600" operator="containsText" text="Mid">
      <formula>NOT(ISERROR(SEARCH("Mid",Q35)))</formula>
    </cfRule>
    <cfRule type="containsText" dxfId="1784" priority="4601" operator="containsText" text="Large">
      <formula>NOT(ISERROR(SEARCH("Large",Q35)))</formula>
    </cfRule>
  </conditionalFormatting>
  <conditionalFormatting sqref="Q35">
    <cfRule type="containsText" dxfId="1783" priority="4596" operator="containsText" text="Small">
      <formula>NOT(ISERROR(SEARCH("Small",Q35)))</formula>
    </cfRule>
    <cfRule type="containsText" dxfId="1782" priority="4597" operator="containsText" text="Mid">
      <formula>NOT(ISERROR(SEARCH("Mid",Q35)))</formula>
    </cfRule>
    <cfRule type="containsText" dxfId="1781" priority="4598" operator="containsText" text="Large">
      <formula>NOT(ISERROR(SEARCH("Large",Q35)))</formula>
    </cfRule>
  </conditionalFormatting>
  <conditionalFormatting sqref="Q35">
    <cfRule type="containsText" dxfId="1780" priority="4593" operator="containsText" text="Small">
      <formula>NOT(ISERROR(SEARCH("Small",Q35)))</formula>
    </cfRule>
    <cfRule type="containsText" dxfId="1779" priority="4594" operator="containsText" text="Mid">
      <formula>NOT(ISERROR(SEARCH("Mid",Q35)))</formula>
    </cfRule>
    <cfRule type="containsText" dxfId="1778" priority="4595" operator="containsText" text="Large">
      <formula>NOT(ISERROR(SEARCH("Large",Q35)))</formula>
    </cfRule>
  </conditionalFormatting>
  <conditionalFormatting sqref="Q35">
    <cfRule type="containsText" dxfId="1777" priority="4590" operator="containsText" text="Small">
      <formula>NOT(ISERROR(SEARCH("Small",Q35)))</formula>
    </cfRule>
    <cfRule type="containsText" dxfId="1776" priority="4591" operator="containsText" text="Mid">
      <formula>NOT(ISERROR(SEARCH("Mid",Q35)))</formula>
    </cfRule>
    <cfRule type="containsText" dxfId="1775" priority="4592" operator="containsText" text="Large">
      <formula>NOT(ISERROR(SEARCH("Large",Q35)))</formula>
    </cfRule>
  </conditionalFormatting>
  <conditionalFormatting sqref="Q35">
    <cfRule type="containsText" dxfId="1774" priority="4587" operator="containsText" text="Small">
      <formula>NOT(ISERROR(SEARCH("Small",Q35)))</formula>
    </cfRule>
    <cfRule type="containsText" dxfId="1773" priority="4588" operator="containsText" text="Mid">
      <formula>NOT(ISERROR(SEARCH("Mid",Q35)))</formula>
    </cfRule>
    <cfRule type="containsText" dxfId="1772" priority="4589" operator="containsText" text="Large">
      <formula>NOT(ISERROR(SEARCH("Large",Q35)))</formula>
    </cfRule>
  </conditionalFormatting>
  <conditionalFormatting sqref="Q35">
    <cfRule type="containsText" dxfId="1771" priority="4584" operator="containsText" text="Small">
      <formula>NOT(ISERROR(SEARCH("Small",Q35)))</formula>
    </cfRule>
    <cfRule type="containsText" dxfId="1770" priority="4585" operator="containsText" text="Mid">
      <formula>NOT(ISERROR(SEARCH("Mid",Q35)))</formula>
    </cfRule>
    <cfRule type="containsText" dxfId="1769" priority="4586" operator="containsText" text="Large">
      <formula>NOT(ISERROR(SEARCH("Large",Q35)))</formula>
    </cfRule>
  </conditionalFormatting>
  <conditionalFormatting sqref="Q21">
    <cfRule type="containsText" dxfId="1768" priority="4581" operator="containsText" text="Small">
      <formula>NOT(ISERROR(SEARCH("Small",Q21)))</formula>
    </cfRule>
    <cfRule type="containsText" dxfId="1767" priority="4582" operator="containsText" text="Mid">
      <formula>NOT(ISERROR(SEARCH("Mid",Q21)))</formula>
    </cfRule>
    <cfRule type="containsText" dxfId="1766" priority="4583" operator="containsText" text="Large">
      <formula>NOT(ISERROR(SEARCH("Large",Q21)))</formula>
    </cfRule>
  </conditionalFormatting>
  <conditionalFormatting sqref="Q21">
    <cfRule type="containsText" dxfId="1765" priority="4578" operator="containsText" text="Small">
      <formula>NOT(ISERROR(SEARCH("Small",Q21)))</formula>
    </cfRule>
    <cfRule type="containsText" dxfId="1764" priority="4579" operator="containsText" text="Mid">
      <formula>NOT(ISERROR(SEARCH("Mid",Q21)))</formula>
    </cfRule>
    <cfRule type="containsText" dxfId="1763" priority="4580" operator="containsText" text="Large">
      <formula>NOT(ISERROR(SEARCH("Large",Q21)))</formula>
    </cfRule>
  </conditionalFormatting>
  <conditionalFormatting sqref="Q21">
    <cfRule type="containsText" dxfId="1762" priority="4575" operator="containsText" text="Small">
      <formula>NOT(ISERROR(SEARCH("Small",Q21)))</formula>
    </cfRule>
    <cfRule type="containsText" dxfId="1761" priority="4576" operator="containsText" text="Mid">
      <formula>NOT(ISERROR(SEARCH("Mid",Q21)))</formula>
    </cfRule>
    <cfRule type="containsText" dxfId="1760" priority="4577" operator="containsText" text="Large">
      <formula>NOT(ISERROR(SEARCH("Large",Q21)))</formula>
    </cfRule>
  </conditionalFormatting>
  <conditionalFormatting sqref="Q21">
    <cfRule type="containsText" dxfId="1759" priority="4572" operator="containsText" text="Small">
      <formula>NOT(ISERROR(SEARCH("Small",Q21)))</formula>
    </cfRule>
    <cfRule type="containsText" dxfId="1758" priority="4573" operator="containsText" text="Mid">
      <formula>NOT(ISERROR(SEARCH("Mid",Q21)))</formula>
    </cfRule>
    <cfRule type="containsText" dxfId="1757" priority="4574" operator="containsText" text="Large">
      <formula>NOT(ISERROR(SEARCH("Large",Q21)))</formula>
    </cfRule>
  </conditionalFormatting>
  <conditionalFormatting sqref="Q21">
    <cfRule type="containsText" dxfId="1756" priority="4569" operator="containsText" text="Small">
      <formula>NOT(ISERROR(SEARCH("Small",Q21)))</formula>
    </cfRule>
    <cfRule type="containsText" dxfId="1755" priority="4570" operator="containsText" text="Mid">
      <formula>NOT(ISERROR(SEARCH("Mid",Q21)))</formula>
    </cfRule>
    <cfRule type="containsText" dxfId="1754" priority="4571" operator="containsText" text="Large">
      <formula>NOT(ISERROR(SEARCH("Large",Q21)))</formula>
    </cfRule>
  </conditionalFormatting>
  <conditionalFormatting sqref="Q21">
    <cfRule type="containsText" dxfId="1753" priority="4566" operator="containsText" text="Small">
      <formula>NOT(ISERROR(SEARCH("Small",Q21)))</formula>
    </cfRule>
    <cfRule type="containsText" dxfId="1752" priority="4567" operator="containsText" text="Mid">
      <formula>NOT(ISERROR(SEARCH("Mid",Q21)))</formula>
    </cfRule>
    <cfRule type="containsText" dxfId="1751" priority="4568" operator="containsText" text="Large">
      <formula>NOT(ISERROR(SEARCH("Large",Q21)))</formula>
    </cfRule>
  </conditionalFormatting>
  <conditionalFormatting sqref="Q21">
    <cfRule type="containsText" dxfId="1750" priority="4563" operator="containsText" text="Small">
      <formula>NOT(ISERROR(SEARCH("Small",Q21)))</formula>
    </cfRule>
    <cfRule type="containsText" dxfId="1749" priority="4564" operator="containsText" text="Mid">
      <formula>NOT(ISERROR(SEARCH("Mid",Q21)))</formula>
    </cfRule>
    <cfRule type="containsText" dxfId="1748" priority="4565" operator="containsText" text="Large">
      <formula>NOT(ISERROR(SEARCH("Large",Q21)))</formula>
    </cfRule>
  </conditionalFormatting>
  <conditionalFormatting sqref="Q21">
    <cfRule type="containsText" dxfId="1747" priority="4560" operator="containsText" text="Small">
      <formula>NOT(ISERROR(SEARCH("Small",Q21)))</formula>
    </cfRule>
    <cfRule type="containsText" dxfId="1746" priority="4561" operator="containsText" text="Mid">
      <formula>NOT(ISERROR(SEARCH("Mid",Q21)))</formula>
    </cfRule>
    <cfRule type="containsText" dxfId="1745" priority="4562" operator="containsText" text="Large">
      <formula>NOT(ISERROR(SEARCH("Large",Q21)))</formula>
    </cfRule>
  </conditionalFormatting>
  <conditionalFormatting sqref="Q21">
    <cfRule type="containsText" dxfId="1744" priority="4557" operator="containsText" text="Small">
      <formula>NOT(ISERROR(SEARCH("Small",Q21)))</formula>
    </cfRule>
    <cfRule type="containsText" dxfId="1743" priority="4558" operator="containsText" text="Mid">
      <formula>NOT(ISERROR(SEARCH("Mid",Q21)))</formula>
    </cfRule>
    <cfRule type="containsText" dxfId="1742" priority="4559" operator="containsText" text="Large">
      <formula>NOT(ISERROR(SEARCH("Large",Q21)))</formula>
    </cfRule>
  </conditionalFormatting>
  <conditionalFormatting sqref="Q21">
    <cfRule type="containsText" dxfId="1741" priority="4554" operator="containsText" text="Small">
      <formula>NOT(ISERROR(SEARCH("Small",Q21)))</formula>
    </cfRule>
    <cfRule type="containsText" dxfId="1740" priority="4555" operator="containsText" text="Mid">
      <formula>NOT(ISERROR(SEARCH("Mid",Q21)))</formula>
    </cfRule>
    <cfRule type="containsText" dxfId="1739" priority="4556" operator="containsText" text="Large">
      <formula>NOT(ISERROR(SEARCH("Large",Q21)))</formula>
    </cfRule>
  </conditionalFormatting>
  <conditionalFormatting sqref="Q21">
    <cfRule type="containsText" dxfId="1738" priority="4551" operator="containsText" text="Small">
      <formula>NOT(ISERROR(SEARCH("Small",Q21)))</formula>
    </cfRule>
    <cfRule type="containsText" dxfId="1737" priority="4552" operator="containsText" text="Mid">
      <formula>NOT(ISERROR(SEARCH("Mid",Q21)))</formula>
    </cfRule>
    <cfRule type="containsText" dxfId="1736" priority="4553" operator="containsText" text="Large">
      <formula>NOT(ISERROR(SEARCH("Large",Q21)))</formula>
    </cfRule>
  </conditionalFormatting>
  <conditionalFormatting sqref="Q21">
    <cfRule type="containsText" dxfId="1735" priority="4548" operator="containsText" text="Small">
      <formula>NOT(ISERROR(SEARCH("Small",Q21)))</formula>
    </cfRule>
    <cfRule type="containsText" dxfId="1734" priority="4549" operator="containsText" text="Mid">
      <formula>NOT(ISERROR(SEARCH("Mid",Q21)))</formula>
    </cfRule>
    <cfRule type="containsText" dxfId="1733" priority="4550" operator="containsText" text="Large">
      <formula>NOT(ISERROR(SEARCH("Large",Q21)))</formula>
    </cfRule>
  </conditionalFormatting>
  <conditionalFormatting sqref="Q21">
    <cfRule type="containsText" dxfId="1732" priority="4545" operator="containsText" text="Small">
      <formula>NOT(ISERROR(SEARCH("Small",Q21)))</formula>
    </cfRule>
    <cfRule type="containsText" dxfId="1731" priority="4546" operator="containsText" text="Mid">
      <formula>NOT(ISERROR(SEARCH("Mid",Q21)))</formula>
    </cfRule>
    <cfRule type="containsText" dxfId="1730" priority="4547" operator="containsText" text="Large">
      <formula>NOT(ISERROR(SEARCH("Large",Q21)))</formula>
    </cfRule>
  </conditionalFormatting>
  <conditionalFormatting sqref="Q21">
    <cfRule type="containsText" dxfId="1729" priority="4542" operator="containsText" text="Small">
      <formula>NOT(ISERROR(SEARCH("Small",Q21)))</formula>
    </cfRule>
    <cfRule type="containsText" dxfId="1728" priority="4543" operator="containsText" text="Mid">
      <formula>NOT(ISERROR(SEARCH("Mid",Q21)))</formula>
    </cfRule>
    <cfRule type="containsText" dxfId="1727" priority="4544" operator="containsText" text="Large">
      <formula>NOT(ISERROR(SEARCH("Large",Q21)))</formula>
    </cfRule>
  </conditionalFormatting>
  <conditionalFormatting sqref="Q21">
    <cfRule type="containsText" dxfId="1726" priority="4539" operator="containsText" text="Small">
      <formula>NOT(ISERROR(SEARCH("Small",Q21)))</formula>
    </cfRule>
    <cfRule type="containsText" dxfId="1725" priority="4540" operator="containsText" text="Mid">
      <formula>NOT(ISERROR(SEARCH("Mid",Q21)))</formula>
    </cfRule>
    <cfRule type="containsText" dxfId="1724" priority="4541" operator="containsText" text="Large">
      <formula>NOT(ISERROR(SEARCH("Large",Q21)))</formula>
    </cfRule>
  </conditionalFormatting>
  <conditionalFormatting sqref="Q21">
    <cfRule type="containsText" dxfId="1723" priority="4536" operator="containsText" text="Small">
      <formula>NOT(ISERROR(SEARCH("Small",Q21)))</formula>
    </cfRule>
    <cfRule type="containsText" dxfId="1722" priority="4537" operator="containsText" text="Mid">
      <formula>NOT(ISERROR(SEARCH("Mid",Q21)))</formula>
    </cfRule>
    <cfRule type="containsText" dxfId="1721" priority="4538" operator="containsText" text="Large">
      <formula>NOT(ISERROR(SEARCH("Large",Q21)))</formula>
    </cfRule>
  </conditionalFormatting>
  <conditionalFormatting sqref="Q35">
    <cfRule type="containsText" dxfId="1720" priority="4533" operator="containsText" text="Small">
      <formula>NOT(ISERROR(SEARCH("Small",Q35)))</formula>
    </cfRule>
    <cfRule type="containsText" dxfId="1719" priority="4534" operator="containsText" text="Mid">
      <formula>NOT(ISERROR(SEARCH("Mid",Q35)))</formula>
    </cfRule>
    <cfRule type="containsText" dxfId="1718" priority="4535" operator="containsText" text="Large">
      <formula>NOT(ISERROR(SEARCH("Large",Q35)))</formula>
    </cfRule>
  </conditionalFormatting>
  <conditionalFormatting sqref="Q35">
    <cfRule type="containsText" dxfId="1717" priority="4527" operator="containsText" text="Small">
      <formula>NOT(ISERROR(SEARCH("Small",Q35)))</formula>
    </cfRule>
    <cfRule type="containsText" dxfId="1716" priority="4528" operator="containsText" text="Mid">
      <formula>NOT(ISERROR(SEARCH("Mid",Q35)))</formula>
    </cfRule>
    <cfRule type="containsText" dxfId="1715" priority="4529" operator="containsText" text="Large">
      <formula>NOT(ISERROR(SEARCH("Large",Q35)))</formula>
    </cfRule>
  </conditionalFormatting>
  <conditionalFormatting sqref="Q35">
    <cfRule type="containsText" dxfId="1714" priority="4509" operator="containsText" text="Small">
      <formula>NOT(ISERROR(SEARCH("Small",Q35)))</formula>
    </cfRule>
    <cfRule type="containsText" dxfId="1713" priority="4510" operator="containsText" text="Mid">
      <formula>NOT(ISERROR(SEARCH("Mid",Q35)))</formula>
    </cfRule>
    <cfRule type="containsText" dxfId="1712" priority="4511" operator="containsText" text="Large">
      <formula>NOT(ISERROR(SEARCH("Large",Q35)))</formula>
    </cfRule>
  </conditionalFormatting>
  <conditionalFormatting sqref="X21">
    <cfRule type="containsText" dxfId="1711" priority="4396" operator="containsText" text="Small">
      <formula>NOT(ISERROR(SEARCH("Small",X21)))</formula>
    </cfRule>
    <cfRule type="containsText" dxfId="1710" priority="4397" operator="containsText" text="Mid">
      <formula>NOT(ISERROR(SEARCH("Mid",X21)))</formula>
    </cfRule>
    <cfRule type="containsText" dxfId="1709" priority="4398" operator="containsText" text="Large">
      <formula>NOT(ISERROR(SEARCH("Large",X21)))</formula>
    </cfRule>
  </conditionalFormatting>
  <conditionalFormatting sqref="X21">
    <cfRule type="containsText" dxfId="1708" priority="4393" operator="containsText" text="Small">
      <formula>NOT(ISERROR(SEARCH("Small",X21)))</formula>
    </cfRule>
    <cfRule type="containsText" dxfId="1707" priority="4394" operator="containsText" text="Mid">
      <formula>NOT(ISERROR(SEARCH("Mid",X21)))</formula>
    </cfRule>
    <cfRule type="containsText" dxfId="1706" priority="4395" operator="containsText" text="Large">
      <formula>NOT(ISERROR(SEARCH("Large",X21)))</formula>
    </cfRule>
  </conditionalFormatting>
  <conditionalFormatting sqref="X21">
    <cfRule type="containsText" dxfId="1705" priority="4390" operator="containsText" text="Small">
      <formula>NOT(ISERROR(SEARCH("Small",X21)))</formula>
    </cfRule>
    <cfRule type="containsText" dxfId="1704" priority="4391" operator="containsText" text="Mid">
      <formula>NOT(ISERROR(SEARCH("Mid",X21)))</formula>
    </cfRule>
    <cfRule type="containsText" dxfId="1703" priority="4392" operator="containsText" text="Large">
      <formula>NOT(ISERROR(SEARCH("Large",X21)))</formula>
    </cfRule>
  </conditionalFormatting>
  <conditionalFormatting sqref="X21">
    <cfRule type="containsText" dxfId="1702" priority="4387" operator="containsText" text="Small">
      <formula>NOT(ISERROR(SEARCH("Small",X21)))</formula>
    </cfRule>
    <cfRule type="containsText" dxfId="1701" priority="4388" operator="containsText" text="Mid">
      <formula>NOT(ISERROR(SEARCH("Mid",X21)))</formula>
    </cfRule>
    <cfRule type="containsText" dxfId="1700" priority="4389" operator="containsText" text="Large">
      <formula>NOT(ISERROR(SEARCH("Large",X21)))</formula>
    </cfRule>
  </conditionalFormatting>
  <conditionalFormatting sqref="X21">
    <cfRule type="containsText" dxfId="1699" priority="4384" operator="containsText" text="Small">
      <formula>NOT(ISERROR(SEARCH("Small",X21)))</formula>
    </cfRule>
    <cfRule type="containsText" dxfId="1698" priority="4385" operator="containsText" text="Mid">
      <formula>NOT(ISERROR(SEARCH("Mid",X21)))</formula>
    </cfRule>
    <cfRule type="containsText" dxfId="1697" priority="4386" operator="containsText" text="Large">
      <formula>NOT(ISERROR(SEARCH("Large",X21)))</formula>
    </cfRule>
  </conditionalFormatting>
  <conditionalFormatting sqref="Q35">
    <cfRule type="containsText" dxfId="1696" priority="4479" operator="containsText" text="Small">
      <formula>NOT(ISERROR(SEARCH("Small",Q35)))</formula>
    </cfRule>
    <cfRule type="containsText" dxfId="1695" priority="4480" operator="containsText" text="Mid">
      <formula>NOT(ISERROR(SEARCH("Mid",Q35)))</formula>
    </cfRule>
    <cfRule type="containsText" dxfId="1694" priority="4481" operator="containsText" text="Large">
      <formula>NOT(ISERROR(SEARCH("Large",Q35)))</formula>
    </cfRule>
  </conditionalFormatting>
  <conditionalFormatting sqref="X21">
    <cfRule type="containsText" dxfId="1693" priority="4366" operator="containsText" text="Small">
      <formula>NOT(ISERROR(SEARCH("Small",X21)))</formula>
    </cfRule>
    <cfRule type="containsText" dxfId="1692" priority="4367" operator="containsText" text="Mid">
      <formula>NOT(ISERROR(SEARCH("Mid",X21)))</formula>
    </cfRule>
    <cfRule type="containsText" dxfId="1691" priority="4368" operator="containsText" text="Large">
      <formula>NOT(ISERROR(SEARCH("Large",X21)))</formula>
    </cfRule>
  </conditionalFormatting>
  <conditionalFormatting sqref="X21">
    <cfRule type="containsText" dxfId="1690" priority="4363" operator="containsText" text="Small">
      <formula>NOT(ISERROR(SEARCH("Small",X21)))</formula>
    </cfRule>
    <cfRule type="containsText" dxfId="1689" priority="4364" operator="containsText" text="Mid">
      <formula>NOT(ISERROR(SEARCH("Mid",X21)))</formula>
    </cfRule>
    <cfRule type="containsText" dxfId="1688" priority="4365" operator="containsText" text="Large">
      <formula>NOT(ISERROR(SEARCH("Large",X21)))</formula>
    </cfRule>
  </conditionalFormatting>
  <conditionalFormatting sqref="X21">
    <cfRule type="containsText" dxfId="1687" priority="4360" operator="containsText" text="Small">
      <formula>NOT(ISERROR(SEARCH("Small",X21)))</formula>
    </cfRule>
    <cfRule type="containsText" dxfId="1686" priority="4361" operator="containsText" text="Mid">
      <formula>NOT(ISERROR(SEARCH("Mid",X21)))</formula>
    </cfRule>
    <cfRule type="containsText" dxfId="1685" priority="4362" operator="containsText" text="Large">
      <formula>NOT(ISERROR(SEARCH("Large",X21)))</formula>
    </cfRule>
  </conditionalFormatting>
  <conditionalFormatting sqref="X21">
    <cfRule type="containsText" dxfId="1684" priority="4357" operator="containsText" text="Small">
      <formula>NOT(ISERROR(SEARCH("Small",X21)))</formula>
    </cfRule>
    <cfRule type="containsText" dxfId="1683" priority="4358" operator="containsText" text="Mid">
      <formula>NOT(ISERROR(SEARCH("Mid",X21)))</formula>
    </cfRule>
    <cfRule type="containsText" dxfId="1682" priority="4359" operator="containsText" text="Large">
      <formula>NOT(ISERROR(SEARCH("Large",X21)))</formula>
    </cfRule>
  </conditionalFormatting>
  <conditionalFormatting sqref="X21">
    <cfRule type="containsText" dxfId="1681" priority="4354" operator="containsText" text="Small">
      <formula>NOT(ISERROR(SEARCH("Small",X21)))</formula>
    </cfRule>
    <cfRule type="containsText" dxfId="1680" priority="4355" operator="containsText" text="Mid">
      <formula>NOT(ISERROR(SEARCH("Mid",X21)))</formula>
    </cfRule>
    <cfRule type="containsText" dxfId="1679" priority="4356" operator="containsText" text="Large">
      <formula>NOT(ISERROR(SEARCH("Large",X21)))</formula>
    </cfRule>
  </conditionalFormatting>
  <conditionalFormatting sqref="X21">
    <cfRule type="containsText" dxfId="1678" priority="4351" operator="containsText" text="Small">
      <formula>NOT(ISERROR(SEARCH("Small",X21)))</formula>
    </cfRule>
    <cfRule type="containsText" dxfId="1677" priority="4352" operator="containsText" text="Mid">
      <formula>NOT(ISERROR(SEARCH("Mid",X21)))</formula>
    </cfRule>
    <cfRule type="containsText" dxfId="1676" priority="4353" operator="containsText" text="Large">
      <formula>NOT(ISERROR(SEARCH("Large",X21)))</formula>
    </cfRule>
  </conditionalFormatting>
  <conditionalFormatting sqref="X21">
    <cfRule type="containsText" dxfId="1675" priority="4348" operator="containsText" text="Small">
      <formula>NOT(ISERROR(SEARCH("Small",X21)))</formula>
    </cfRule>
    <cfRule type="containsText" dxfId="1674" priority="4349" operator="containsText" text="Mid">
      <formula>NOT(ISERROR(SEARCH("Mid",X21)))</formula>
    </cfRule>
    <cfRule type="containsText" dxfId="1673" priority="4350" operator="containsText" text="Large">
      <formula>NOT(ISERROR(SEARCH("Large",X21)))</formula>
    </cfRule>
  </conditionalFormatting>
  <conditionalFormatting sqref="X21">
    <cfRule type="containsText" dxfId="1672" priority="4345" operator="containsText" text="Small">
      <formula>NOT(ISERROR(SEARCH("Small",X21)))</formula>
    </cfRule>
    <cfRule type="containsText" dxfId="1671" priority="4346" operator="containsText" text="Mid">
      <formula>NOT(ISERROR(SEARCH("Mid",X21)))</formula>
    </cfRule>
    <cfRule type="containsText" dxfId="1670" priority="4347" operator="containsText" text="Large">
      <formula>NOT(ISERROR(SEARCH("Large",X21)))</formula>
    </cfRule>
  </conditionalFormatting>
  <conditionalFormatting sqref="X21">
    <cfRule type="containsText" dxfId="1669" priority="4433" operator="containsText" text="Small">
      <formula>NOT(ISERROR(SEARCH("Small",X21)))</formula>
    </cfRule>
    <cfRule type="containsText" dxfId="1668" priority="4434" operator="containsText" text="Mid">
      <formula>NOT(ISERROR(SEARCH("Mid",X21)))</formula>
    </cfRule>
    <cfRule type="containsText" dxfId="1667" priority="4435" operator="containsText" text="Large">
      <formula>NOT(ISERROR(SEARCH("Large",X21)))</formula>
    </cfRule>
  </conditionalFormatting>
  <conditionalFormatting sqref="X21">
    <cfRule type="containsText" dxfId="1666" priority="4430" operator="containsText" text="Small">
      <formula>NOT(ISERROR(SEARCH("Small",X21)))</formula>
    </cfRule>
    <cfRule type="containsText" dxfId="1665" priority="4431" operator="containsText" text="Mid">
      <formula>NOT(ISERROR(SEARCH("Mid",X21)))</formula>
    </cfRule>
    <cfRule type="containsText" dxfId="1664" priority="4432" operator="containsText" text="Large">
      <formula>NOT(ISERROR(SEARCH("Large",X21)))</formula>
    </cfRule>
  </conditionalFormatting>
  <conditionalFormatting sqref="X21">
    <cfRule type="containsText" dxfId="1663" priority="4427" operator="containsText" text="Small">
      <formula>NOT(ISERROR(SEARCH("Small",X21)))</formula>
    </cfRule>
    <cfRule type="containsText" dxfId="1662" priority="4428" operator="containsText" text="Mid">
      <formula>NOT(ISERROR(SEARCH("Mid",X21)))</formula>
    </cfRule>
    <cfRule type="containsText" dxfId="1661" priority="4429" operator="containsText" text="Large">
      <formula>NOT(ISERROR(SEARCH("Large",X21)))</formula>
    </cfRule>
  </conditionalFormatting>
  <conditionalFormatting sqref="X49">
    <cfRule type="containsText" dxfId="1660" priority="4415" operator="containsText" text="Small">
      <formula>NOT(ISERROR(SEARCH("Small",X49)))</formula>
    </cfRule>
    <cfRule type="containsText" dxfId="1659" priority="4416" operator="containsText" text="Mid">
      <formula>NOT(ISERROR(SEARCH("Mid",X49)))</formula>
    </cfRule>
    <cfRule type="containsText" dxfId="1658" priority="4417" operator="containsText" text="Large">
      <formula>NOT(ISERROR(SEARCH("Large",X49)))</formula>
    </cfRule>
  </conditionalFormatting>
  <conditionalFormatting sqref="X49">
    <cfRule type="containsText" dxfId="1657" priority="4412" operator="containsText" text="Small">
      <formula>NOT(ISERROR(SEARCH("Small",X49)))</formula>
    </cfRule>
    <cfRule type="containsText" dxfId="1656" priority="4413" operator="containsText" text="Mid">
      <formula>NOT(ISERROR(SEARCH("Mid",X49)))</formula>
    </cfRule>
    <cfRule type="containsText" dxfId="1655" priority="4414" operator="containsText" text="Large">
      <formula>NOT(ISERROR(SEARCH("Large",X49)))</formula>
    </cfRule>
  </conditionalFormatting>
  <conditionalFormatting sqref="X49">
    <cfRule type="containsText" dxfId="1654" priority="4409" operator="containsText" text="Small">
      <formula>NOT(ISERROR(SEARCH("Small",X49)))</formula>
    </cfRule>
    <cfRule type="containsText" dxfId="1653" priority="4410" operator="containsText" text="Mid">
      <formula>NOT(ISERROR(SEARCH("Mid",X49)))</formula>
    </cfRule>
    <cfRule type="containsText" dxfId="1652" priority="4411" operator="containsText" text="Large">
      <formula>NOT(ISERROR(SEARCH("Large",X49)))</formula>
    </cfRule>
  </conditionalFormatting>
  <conditionalFormatting sqref="X21">
    <cfRule type="containsText" dxfId="1651" priority="4381" operator="containsText" text="Small">
      <formula>NOT(ISERROR(SEARCH("Small",X21)))</formula>
    </cfRule>
    <cfRule type="containsText" dxfId="1650" priority="4382" operator="containsText" text="Mid">
      <formula>NOT(ISERROR(SEARCH("Mid",X21)))</formula>
    </cfRule>
    <cfRule type="containsText" dxfId="1649" priority="4383" operator="containsText" text="Large">
      <formula>NOT(ISERROR(SEARCH("Large",X21)))</formula>
    </cfRule>
  </conditionalFormatting>
  <conditionalFormatting sqref="X21">
    <cfRule type="containsText" dxfId="1648" priority="4378" operator="containsText" text="Small">
      <formula>NOT(ISERROR(SEARCH("Small",X21)))</formula>
    </cfRule>
    <cfRule type="containsText" dxfId="1647" priority="4379" operator="containsText" text="Mid">
      <formula>NOT(ISERROR(SEARCH("Mid",X21)))</formula>
    </cfRule>
    <cfRule type="containsText" dxfId="1646" priority="4380" operator="containsText" text="Large">
      <formula>NOT(ISERROR(SEARCH("Large",X21)))</formula>
    </cfRule>
  </conditionalFormatting>
  <conditionalFormatting sqref="X49">
    <cfRule type="containsText" dxfId="1645" priority="4279" operator="containsText" text="Small">
      <formula>NOT(ISERROR(SEARCH("Small",X49)))</formula>
    </cfRule>
    <cfRule type="containsText" dxfId="1644" priority="4280" operator="containsText" text="Mid">
      <formula>NOT(ISERROR(SEARCH("Mid",X49)))</formula>
    </cfRule>
    <cfRule type="containsText" dxfId="1643" priority="4281" operator="containsText" text="Large">
      <formula>NOT(ISERROR(SEARCH("Large",X49)))</formula>
    </cfRule>
  </conditionalFormatting>
  <conditionalFormatting sqref="X49">
    <cfRule type="containsText" dxfId="1642" priority="4276" operator="containsText" text="Small">
      <formula>NOT(ISERROR(SEARCH("Small",X49)))</formula>
    </cfRule>
    <cfRule type="containsText" dxfId="1641" priority="4277" operator="containsText" text="Mid">
      <formula>NOT(ISERROR(SEARCH("Mid",X49)))</formula>
    </cfRule>
    <cfRule type="containsText" dxfId="1640" priority="4278" operator="containsText" text="Large">
      <formula>NOT(ISERROR(SEARCH("Large",X49)))</formula>
    </cfRule>
  </conditionalFormatting>
  <conditionalFormatting sqref="X49">
    <cfRule type="containsText" dxfId="1639" priority="4273" operator="containsText" text="Small">
      <formula>NOT(ISERROR(SEARCH("Small",X49)))</formula>
    </cfRule>
    <cfRule type="containsText" dxfId="1638" priority="4274" operator="containsText" text="Mid">
      <formula>NOT(ISERROR(SEARCH("Mid",X49)))</formula>
    </cfRule>
    <cfRule type="containsText" dxfId="1637" priority="4275" operator="containsText" text="Large">
      <formula>NOT(ISERROR(SEARCH("Large",X49)))</formula>
    </cfRule>
  </conditionalFormatting>
  <conditionalFormatting sqref="X49">
    <cfRule type="containsText" dxfId="1636" priority="4270" operator="containsText" text="Small">
      <formula>NOT(ISERROR(SEARCH("Small",X49)))</formula>
    </cfRule>
    <cfRule type="containsText" dxfId="1635" priority="4271" operator="containsText" text="Mid">
      <formula>NOT(ISERROR(SEARCH("Mid",X49)))</formula>
    </cfRule>
    <cfRule type="containsText" dxfId="1634" priority="4272" operator="containsText" text="Large">
      <formula>NOT(ISERROR(SEARCH("Large",X49)))</formula>
    </cfRule>
  </conditionalFormatting>
  <conditionalFormatting sqref="X49">
    <cfRule type="containsText" dxfId="1633" priority="4267" operator="containsText" text="Small">
      <formula>NOT(ISERROR(SEARCH("Small",X49)))</formula>
    </cfRule>
    <cfRule type="containsText" dxfId="1632" priority="4268" operator="containsText" text="Mid">
      <formula>NOT(ISERROR(SEARCH("Mid",X49)))</formula>
    </cfRule>
    <cfRule type="containsText" dxfId="1631" priority="4269" operator="containsText" text="Large">
      <formula>NOT(ISERROR(SEARCH("Large",X49)))</formula>
    </cfRule>
  </conditionalFormatting>
  <conditionalFormatting sqref="X49">
    <cfRule type="containsText" dxfId="1630" priority="4264" operator="containsText" text="Small">
      <formula>NOT(ISERROR(SEARCH("Small",X49)))</formula>
    </cfRule>
    <cfRule type="containsText" dxfId="1629" priority="4265" operator="containsText" text="Mid">
      <formula>NOT(ISERROR(SEARCH("Mid",X49)))</formula>
    </cfRule>
    <cfRule type="containsText" dxfId="1628" priority="4266" operator="containsText" text="Large">
      <formula>NOT(ISERROR(SEARCH("Large",X49)))</formula>
    </cfRule>
  </conditionalFormatting>
  <conditionalFormatting sqref="X49">
    <cfRule type="containsText" dxfId="1627" priority="4261" operator="containsText" text="Small">
      <formula>NOT(ISERROR(SEARCH("Small",X49)))</formula>
    </cfRule>
    <cfRule type="containsText" dxfId="1626" priority="4262" operator="containsText" text="Mid">
      <formula>NOT(ISERROR(SEARCH("Mid",X49)))</formula>
    </cfRule>
    <cfRule type="containsText" dxfId="1625" priority="4263" operator="containsText" text="Large">
      <formula>NOT(ISERROR(SEARCH("Large",X49)))</formula>
    </cfRule>
  </conditionalFormatting>
  <conditionalFormatting sqref="X49">
    <cfRule type="containsText" dxfId="1624" priority="4258" operator="containsText" text="Small">
      <formula>NOT(ISERROR(SEARCH("Small",X49)))</formula>
    </cfRule>
    <cfRule type="containsText" dxfId="1623" priority="4259" operator="containsText" text="Mid">
      <formula>NOT(ISERROR(SEARCH("Mid",X49)))</formula>
    </cfRule>
    <cfRule type="containsText" dxfId="1622" priority="4260" operator="containsText" text="Large">
      <formula>NOT(ISERROR(SEARCH("Large",X49)))</formula>
    </cfRule>
  </conditionalFormatting>
  <conditionalFormatting sqref="X49">
    <cfRule type="containsText" dxfId="1621" priority="4255" operator="containsText" text="Small">
      <formula>NOT(ISERROR(SEARCH("Small",X49)))</formula>
    </cfRule>
    <cfRule type="containsText" dxfId="1620" priority="4256" operator="containsText" text="Mid">
      <formula>NOT(ISERROR(SEARCH("Mid",X49)))</formula>
    </cfRule>
    <cfRule type="containsText" dxfId="1619" priority="4257" operator="containsText" text="Large">
      <formula>NOT(ISERROR(SEARCH("Large",X49)))</formula>
    </cfRule>
  </conditionalFormatting>
  <conditionalFormatting sqref="X49">
    <cfRule type="containsText" dxfId="1618" priority="4252" operator="containsText" text="Small">
      <formula>NOT(ISERROR(SEARCH("Small",X49)))</formula>
    </cfRule>
    <cfRule type="containsText" dxfId="1617" priority="4253" operator="containsText" text="Mid">
      <formula>NOT(ISERROR(SEARCH("Mid",X49)))</formula>
    </cfRule>
    <cfRule type="containsText" dxfId="1616" priority="4254" operator="containsText" text="Large">
      <formula>NOT(ISERROR(SEARCH("Large",X49)))</formula>
    </cfRule>
  </conditionalFormatting>
  <conditionalFormatting sqref="X49">
    <cfRule type="containsText" dxfId="1615" priority="4249" operator="containsText" text="Small">
      <formula>NOT(ISERROR(SEARCH("Small",X49)))</formula>
    </cfRule>
    <cfRule type="containsText" dxfId="1614" priority="4250" operator="containsText" text="Mid">
      <formula>NOT(ISERROR(SEARCH("Mid",X49)))</formula>
    </cfRule>
    <cfRule type="containsText" dxfId="1613" priority="4251" operator="containsText" text="Large">
      <formula>NOT(ISERROR(SEARCH("Large",X49)))</formula>
    </cfRule>
  </conditionalFormatting>
  <conditionalFormatting sqref="X49">
    <cfRule type="containsText" dxfId="1612" priority="4246" operator="containsText" text="Small">
      <formula>NOT(ISERROR(SEARCH("Small",X49)))</formula>
    </cfRule>
    <cfRule type="containsText" dxfId="1611" priority="4247" operator="containsText" text="Mid">
      <formula>NOT(ISERROR(SEARCH("Mid",X49)))</formula>
    </cfRule>
    <cfRule type="containsText" dxfId="1610" priority="4248" operator="containsText" text="Large">
      <formula>NOT(ISERROR(SEARCH("Large",X49)))</formula>
    </cfRule>
  </conditionalFormatting>
  <conditionalFormatting sqref="X49">
    <cfRule type="containsText" dxfId="1609" priority="4243" operator="containsText" text="Small">
      <formula>NOT(ISERROR(SEARCH("Small",X49)))</formula>
    </cfRule>
    <cfRule type="containsText" dxfId="1608" priority="4244" operator="containsText" text="Mid">
      <formula>NOT(ISERROR(SEARCH("Mid",X49)))</formula>
    </cfRule>
    <cfRule type="containsText" dxfId="1607" priority="4245" operator="containsText" text="Large">
      <formula>NOT(ISERROR(SEARCH("Large",X49)))</formula>
    </cfRule>
  </conditionalFormatting>
  <conditionalFormatting sqref="X49">
    <cfRule type="containsText" dxfId="1606" priority="4240" operator="containsText" text="Small">
      <formula>NOT(ISERROR(SEARCH("Small",X49)))</formula>
    </cfRule>
    <cfRule type="containsText" dxfId="1605" priority="4241" operator="containsText" text="Mid">
      <formula>NOT(ISERROR(SEARCH("Mid",X49)))</formula>
    </cfRule>
    <cfRule type="containsText" dxfId="1604" priority="4242" operator="containsText" text="Large">
      <formula>NOT(ISERROR(SEARCH("Large",X49)))</formula>
    </cfRule>
  </conditionalFormatting>
  <conditionalFormatting sqref="X49">
    <cfRule type="containsText" dxfId="1603" priority="4237" operator="containsText" text="Small">
      <formula>NOT(ISERROR(SEARCH("Small",X49)))</formula>
    </cfRule>
    <cfRule type="containsText" dxfId="1602" priority="4238" operator="containsText" text="Mid">
      <formula>NOT(ISERROR(SEARCH("Mid",X49)))</formula>
    </cfRule>
    <cfRule type="containsText" dxfId="1601" priority="4239" operator="containsText" text="Large">
      <formula>NOT(ISERROR(SEARCH("Large",X49)))</formula>
    </cfRule>
  </conditionalFormatting>
  <conditionalFormatting sqref="X49">
    <cfRule type="containsText" dxfId="1600" priority="4234" operator="containsText" text="Small">
      <formula>NOT(ISERROR(SEARCH("Small",X49)))</formula>
    </cfRule>
    <cfRule type="containsText" dxfId="1599" priority="4235" operator="containsText" text="Mid">
      <formula>NOT(ISERROR(SEARCH("Mid",X49)))</formula>
    </cfRule>
    <cfRule type="containsText" dxfId="1598" priority="4236" operator="containsText" text="Large">
      <formula>NOT(ISERROR(SEARCH("Large",X49)))</formula>
    </cfRule>
  </conditionalFormatting>
  <conditionalFormatting sqref="X49">
    <cfRule type="containsText" dxfId="1597" priority="4231" operator="containsText" text="Small">
      <formula>NOT(ISERROR(SEARCH("Small",X49)))</formula>
    </cfRule>
    <cfRule type="containsText" dxfId="1596" priority="4232" operator="containsText" text="Mid">
      <formula>NOT(ISERROR(SEARCH("Mid",X49)))</formula>
    </cfRule>
    <cfRule type="containsText" dxfId="1595" priority="4233" operator="containsText" text="Large">
      <formula>NOT(ISERROR(SEARCH("Large",X49)))</formula>
    </cfRule>
  </conditionalFormatting>
  <conditionalFormatting sqref="X49">
    <cfRule type="containsText" dxfId="1594" priority="4228" operator="containsText" text="Small">
      <formula>NOT(ISERROR(SEARCH("Small",X49)))</formula>
    </cfRule>
    <cfRule type="containsText" dxfId="1593" priority="4229" operator="containsText" text="Mid">
      <formula>NOT(ISERROR(SEARCH("Mid",X49)))</formula>
    </cfRule>
    <cfRule type="containsText" dxfId="1592" priority="4230" operator="containsText" text="Large">
      <formula>NOT(ISERROR(SEARCH("Large",X49)))</formula>
    </cfRule>
  </conditionalFormatting>
  <conditionalFormatting sqref="X49">
    <cfRule type="containsText" dxfId="1591" priority="4225" operator="containsText" text="Small">
      <formula>NOT(ISERROR(SEARCH("Small",X49)))</formula>
    </cfRule>
    <cfRule type="containsText" dxfId="1590" priority="4226" operator="containsText" text="Mid">
      <formula>NOT(ISERROR(SEARCH("Mid",X49)))</formula>
    </cfRule>
    <cfRule type="containsText" dxfId="1589" priority="4227" operator="containsText" text="Large">
      <formula>NOT(ISERROR(SEARCH("Large",X49)))</formula>
    </cfRule>
  </conditionalFormatting>
  <conditionalFormatting sqref="X49">
    <cfRule type="containsText" dxfId="1588" priority="4222" operator="containsText" text="Small">
      <formula>NOT(ISERROR(SEARCH("Small",X49)))</formula>
    </cfRule>
    <cfRule type="containsText" dxfId="1587" priority="4223" operator="containsText" text="Mid">
      <formula>NOT(ISERROR(SEARCH("Mid",X49)))</formula>
    </cfRule>
    <cfRule type="containsText" dxfId="1586" priority="4224" operator="containsText" text="Large">
      <formula>NOT(ISERROR(SEARCH("Large",X49)))</formula>
    </cfRule>
  </conditionalFormatting>
  <conditionalFormatting sqref="X49">
    <cfRule type="containsText" dxfId="1585" priority="4219" operator="containsText" text="Small">
      <formula>NOT(ISERROR(SEARCH("Small",X49)))</formula>
    </cfRule>
    <cfRule type="containsText" dxfId="1584" priority="4220" operator="containsText" text="Mid">
      <formula>NOT(ISERROR(SEARCH("Mid",X49)))</formula>
    </cfRule>
    <cfRule type="containsText" dxfId="1583" priority="4221" operator="containsText" text="Large">
      <formula>NOT(ISERROR(SEARCH("Large",X49)))</formula>
    </cfRule>
  </conditionalFormatting>
  <conditionalFormatting sqref="X49">
    <cfRule type="containsText" dxfId="1582" priority="4216" operator="containsText" text="Small">
      <formula>NOT(ISERROR(SEARCH("Small",X49)))</formula>
    </cfRule>
    <cfRule type="containsText" dxfId="1581" priority="4217" operator="containsText" text="Mid">
      <formula>NOT(ISERROR(SEARCH("Mid",X49)))</formula>
    </cfRule>
    <cfRule type="containsText" dxfId="1580" priority="4218" operator="containsText" text="Large">
      <formula>NOT(ISERROR(SEARCH("Large",X49)))</formula>
    </cfRule>
  </conditionalFormatting>
  <conditionalFormatting sqref="X49">
    <cfRule type="containsText" dxfId="1579" priority="4213" operator="containsText" text="Small">
      <formula>NOT(ISERROR(SEARCH("Small",X49)))</formula>
    </cfRule>
    <cfRule type="containsText" dxfId="1578" priority="4214" operator="containsText" text="Mid">
      <formula>NOT(ISERROR(SEARCH("Mid",X49)))</formula>
    </cfRule>
    <cfRule type="containsText" dxfId="1577" priority="4215" operator="containsText" text="Large">
      <formula>NOT(ISERROR(SEARCH("Large",X49)))</formula>
    </cfRule>
  </conditionalFormatting>
  <conditionalFormatting sqref="X49">
    <cfRule type="containsText" dxfId="1576" priority="4210" operator="containsText" text="Small">
      <formula>NOT(ISERROR(SEARCH("Small",X49)))</formula>
    </cfRule>
    <cfRule type="containsText" dxfId="1575" priority="4211" operator="containsText" text="Mid">
      <formula>NOT(ISERROR(SEARCH("Mid",X49)))</formula>
    </cfRule>
    <cfRule type="containsText" dxfId="1574" priority="4212" operator="containsText" text="Large">
      <formula>NOT(ISERROR(SEARCH("Large",X49)))</formula>
    </cfRule>
  </conditionalFormatting>
  <conditionalFormatting sqref="X21">
    <cfRule type="containsText" dxfId="1573" priority="4125" operator="containsText" text="Small">
      <formula>NOT(ISERROR(SEARCH("Small",X21)))</formula>
    </cfRule>
    <cfRule type="containsText" dxfId="1572" priority="4126" operator="containsText" text="Mid">
      <formula>NOT(ISERROR(SEARCH("Mid",X21)))</formula>
    </cfRule>
    <cfRule type="containsText" dxfId="1571" priority="4127" operator="containsText" text="Large">
      <formula>NOT(ISERROR(SEARCH("Large",X21)))</formula>
    </cfRule>
  </conditionalFormatting>
  <conditionalFormatting sqref="X21">
    <cfRule type="containsText" dxfId="1570" priority="4122" operator="containsText" text="Small">
      <formula>NOT(ISERROR(SEARCH("Small",X21)))</formula>
    </cfRule>
    <cfRule type="containsText" dxfId="1569" priority="4123" operator="containsText" text="Mid">
      <formula>NOT(ISERROR(SEARCH("Mid",X21)))</formula>
    </cfRule>
    <cfRule type="containsText" dxfId="1568" priority="4124" operator="containsText" text="Large">
      <formula>NOT(ISERROR(SEARCH("Large",X21)))</formula>
    </cfRule>
  </conditionalFormatting>
  <conditionalFormatting sqref="X21">
    <cfRule type="containsText" dxfId="1567" priority="4119" operator="containsText" text="Small">
      <formula>NOT(ISERROR(SEARCH("Small",X21)))</formula>
    </cfRule>
    <cfRule type="containsText" dxfId="1566" priority="4120" operator="containsText" text="Mid">
      <formula>NOT(ISERROR(SEARCH("Mid",X21)))</formula>
    </cfRule>
    <cfRule type="containsText" dxfId="1565" priority="4121" operator="containsText" text="Large">
      <formula>NOT(ISERROR(SEARCH("Large",X21)))</formula>
    </cfRule>
  </conditionalFormatting>
  <conditionalFormatting sqref="X49">
    <cfRule type="containsText" dxfId="1564" priority="4107" operator="containsText" text="Small">
      <formula>NOT(ISERROR(SEARCH("Small",X49)))</formula>
    </cfRule>
    <cfRule type="containsText" dxfId="1563" priority="4108" operator="containsText" text="Mid">
      <formula>NOT(ISERROR(SEARCH("Mid",X49)))</formula>
    </cfRule>
    <cfRule type="containsText" dxfId="1562" priority="4109" operator="containsText" text="Large">
      <formula>NOT(ISERROR(SEARCH("Large",X49)))</formula>
    </cfRule>
  </conditionalFormatting>
  <conditionalFormatting sqref="X49">
    <cfRule type="containsText" dxfId="1561" priority="4104" operator="containsText" text="Small">
      <formula>NOT(ISERROR(SEARCH("Small",X49)))</formula>
    </cfRule>
    <cfRule type="containsText" dxfId="1560" priority="4105" operator="containsText" text="Mid">
      <formula>NOT(ISERROR(SEARCH("Mid",X49)))</formula>
    </cfRule>
    <cfRule type="containsText" dxfId="1559" priority="4106" operator="containsText" text="Large">
      <formula>NOT(ISERROR(SEARCH("Large",X49)))</formula>
    </cfRule>
  </conditionalFormatting>
  <conditionalFormatting sqref="X49">
    <cfRule type="containsText" dxfId="1558" priority="4101" operator="containsText" text="Small">
      <formula>NOT(ISERROR(SEARCH("Small",X49)))</formula>
    </cfRule>
    <cfRule type="containsText" dxfId="1557" priority="4102" operator="containsText" text="Mid">
      <formula>NOT(ISERROR(SEARCH("Mid",X49)))</formula>
    </cfRule>
    <cfRule type="containsText" dxfId="1556" priority="4103" operator="containsText" text="Large">
      <formula>NOT(ISERROR(SEARCH("Large",X49)))</formula>
    </cfRule>
  </conditionalFormatting>
  <conditionalFormatting sqref="X21">
    <cfRule type="containsText" dxfId="1555" priority="4026" operator="containsText" text="Small">
      <formula>NOT(ISERROR(SEARCH("Small",X21)))</formula>
    </cfRule>
    <cfRule type="containsText" dxfId="1554" priority="4027" operator="containsText" text="Mid">
      <formula>NOT(ISERROR(SEARCH("Mid",X21)))</formula>
    </cfRule>
    <cfRule type="containsText" dxfId="1553" priority="4028" operator="containsText" text="Large">
      <formula>NOT(ISERROR(SEARCH("Large",X21)))</formula>
    </cfRule>
  </conditionalFormatting>
  <conditionalFormatting sqref="X21">
    <cfRule type="containsText" dxfId="1552" priority="4023" operator="containsText" text="Small">
      <formula>NOT(ISERROR(SEARCH("Small",X21)))</formula>
    </cfRule>
    <cfRule type="containsText" dxfId="1551" priority="4024" operator="containsText" text="Mid">
      <formula>NOT(ISERROR(SEARCH("Mid",X21)))</formula>
    </cfRule>
    <cfRule type="containsText" dxfId="1550" priority="4025" operator="containsText" text="Large">
      <formula>NOT(ISERROR(SEARCH("Large",X21)))</formula>
    </cfRule>
  </conditionalFormatting>
  <conditionalFormatting sqref="X21">
    <cfRule type="containsText" dxfId="1549" priority="4020" operator="containsText" text="Small">
      <formula>NOT(ISERROR(SEARCH("Small",X21)))</formula>
    </cfRule>
    <cfRule type="containsText" dxfId="1548" priority="4021" operator="containsText" text="Mid">
      <formula>NOT(ISERROR(SEARCH("Mid",X21)))</formula>
    </cfRule>
    <cfRule type="containsText" dxfId="1547" priority="4022" operator="containsText" text="Large">
      <formula>NOT(ISERROR(SEARCH("Large",X21)))</formula>
    </cfRule>
  </conditionalFormatting>
  <conditionalFormatting sqref="X21">
    <cfRule type="containsText" dxfId="1546" priority="4017" operator="containsText" text="Small">
      <formula>NOT(ISERROR(SEARCH("Small",X21)))</formula>
    </cfRule>
    <cfRule type="containsText" dxfId="1545" priority="4018" operator="containsText" text="Mid">
      <formula>NOT(ISERROR(SEARCH("Mid",X21)))</formula>
    </cfRule>
    <cfRule type="containsText" dxfId="1544" priority="4019" operator="containsText" text="Large">
      <formula>NOT(ISERROR(SEARCH("Large",X21)))</formula>
    </cfRule>
  </conditionalFormatting>
  <conditionalFormatting sqref="X21">
    <cfRule type="containsText" dxfId="1543" priority="4014" operator="containsText" text="Small">
      <formula>NOT(ISERROR(SEARCH("Small",X21)))</formula>
    </cfRule>
    <cfRule type="containsText" dxfId="1542" priority="4015" operator="containsText" text="Mid">
      <formula>NOT(ISERROR(SEARCH("Mid",X21)))</formula>
    </cfRule>
    <cfRule type="containsText" dxfId="1541" priority="4016" operator="containsText" text="Large">
      <formula>NOT(ISERROR(SEARCH("Large",X21)))</formula>
    </cfRule>
  </conditionalFormatting>
  <conditionalFormatting sqref="X21">
    <cfRule type="containsText" dxfId="1540" priority="4011" operator="containsText" text="Small">
      <formula>NOT(ISERROR(SEARCH("Small",X21)))</formula>
    </cfRule>
    <cfRule type="containsText" dxfId="1539" priority="4012" operator="containsText" text="Mid">
      <formula>NOT(ISERROR(SEARCH("Mid",X21)))</formula>
    </cfRule>
    <cfRule type="containsText" dxfId="1538" priority="4013" operator="containsText" text="Large">
      <formula>NOT(ISERROR(SEARCH("Large",X21)))</formula>
    </cfRule>
  </conditionalFormatting>
  <conditionalFormatting sqref="X21">
    <cfRule type="containsText" dxfId="1537" priority="4008" operator="containsText" text="Small">
      <formula>NOT(ISERROR(SEARCH("Small",X21)))</formula>
    </cfRule>
    <cfRule type="containsText" dxfId="1536" priority="4009" operator="containsText" text="Mid">
      <formula>NOT(ISERROR(SEARCH("Mid",X21)))</formula>
    </cfRule>
    <cfRule type="containsText" dxfId="1535" priority="4010" operator="containsText" text="Large">
      <formula>NOT(ISERROR(SEARCH("Large",X21)))</formula>
    </cfRule>
  </conditionalFormatting>
  <conditionalFormatting sqref="X21">
    <cfRule type="containsText" dxfId="1534" priority="4005" operator="containsText" text="Small">
      <formula>NOT(ISERROR(SEARCH("Small",X21)))</formula>
    </cfRule>
    <cfRule type="containsText" dxfId="1533" priority="4006" operator="containsText" text="Mid">
      <formula>NOT(ISERROR(SEARCH("Mid",X21)))</formula>
    </cfRule>
    <cfRule type="containsText" dxfId="1532" priority="4007" operator="containsText" text="Large">
      <formula>NOT(ISERROR(SEARCH("Large",X21)))</formula>
    </cfRule>
  </conditionalFormatting>
  <conditionalFormatting sqref="X21">
    <cfRule type="containsText" dxfId="1531" priority="4002" operator="containsText" text="Small">
      <formula>NOT(ISERROR(SEARCH("Small",X21)))</formula>
    </cfRule>
    <cfRule type="containsText" dxfId="1530" priority="4003" operator="containsText" text="Mid">
      <formula>NOT(ISERROR(SEARCH("Mid",X21)))</formula>
    </cfRule>
    <cfRule type="containsText" dxfId="1529" priority="4004" operator="containsText" text="Large">
      <formula>NOT(ISERROR(SEARCH("Large",X21)))</formula>
    </cfRule>
  </conditionalFormatting>
  <conditionalFormatting sqref="X21">
    <cfRule type="containsText" dxfId="1528" priority="3999" operator="containsText" text="Small">
      <formula>NOT(ISERROR(SEARCH("Small",X21)))</formula>
    </cfRule>
    <cfRule type="containsText" dxfId="1527" priority="4000" operator="containsText" text="Mid">
      <formula>NOT(ISERROR(SEARCH("Mid",X21)))</formula>
    </cfRule>
    <cfRule type="containsText" dxfId="1526" priority="4001" operator="containsText" text="Large">
      <formula>NOT(ISERROR(SEARCH("Large",X21)))</formula>
    </cfRule>
  </conditionalFormatting>
  <conditionalFormatting sqref="X21">
    <cfRule type="containsText" dxfId="1525" priority="3996" operator="containsText" text="Small">
      <formula>NOT(ISERROR(SEARCH("Small",X21)))</formula>
    </cfRule>
    <cfRule type="containsText" dxfId="1524" priority="3997" operator="containsText" text="Mid">
      <formula>NOT(ISERROR(SEARCH("Mid",X21)))</formula>
    </cfRule>
    <cfRule type="containsText" dxfId="1523" priority="3998" operator="containsText" text="Large">
      <formula>NOT(ISERROR(SEARCH("Large",X21)))</formula>
    </cfRule>
  </conditionalFormatting>
  <conditionalFormatting sqref="X21">
    <cfRule type="containsText" dxfId="1522" priority="3993" operator="containsText" text="Small">
      <formula>NOT(ISERROR(SEARCH("Small",X21)))</formula>
    </cfRule>
    <cfRule type="containsText" dxfId="1521" priority="3994" operator="containsText" text="Mid">
      <formula>NOT(ISERROR(SEARCH("Mid",X21)))</formula>
    </cfRule>
    <cfRule type="containsText" dxfId="1520" priority="3995" operator="containsText" text="Large">
      <formula>NOT(ISERROR(SEARCH("Large",X21)))</formula>
    </cfRule>
  </conditionalFormatting>
  <conditionalFormatting sqref="X21">
    <cfRule type="containsText" dxfId="1519" priority="3990" operator="containsText" text="Small">
      <formula>NOT(ISERROR(SEARCH("Small",X21)))</formula>
    </cfRule>
    <cfRule type="containsText" dxfId="1518" priority="3991" operator="containsText" text="Mid">
      <formula>NOT(ISERROR(SEARCH("Mid",X21)))</formula>
    </cfRule>
    <cfRule type="containsText" dxfId="1517" priority="3992" operator="containsText" text="Large">
      <formula>NOT(ISERROR(SEARCH("Large",X21)))</formula>
    </cfRule>
  </conditionalFormatting>
  <conditionalFormatting sqref="X21">
    <cfRule type="containsText" dxfId="1516" priority="3987" operator="containsText" text="Small">
      <formula>NOT(ISERROR(SEARCH("Small",X21)))</formula>
    </cfRule>
    <cfRule type="containsText" dxfId="1515" priority="3988" operator="containsText" text="Mid">
      <formula>NOT(ISERROR(SEARCH("Mid",X21)))</formula>
    </cfRule>
    <cfRule type="containsText" dxfId="1514" priority="3989" operator="containsText" text="Large">
      <formula>NOT(ISERROR(SEARCH("Large",X21)))</formula>
    </cfRule>
  </conditionalFormatting>
  <conditionalFormatting sqref="X21">
    <cfRule type="containsText" dxfId="1513" priority="3984" operator="containsText" text="Small">
      <formula>NOT(ISERROR(SEARCH("Small",X21)))</formula>
    </cfRule>
    <cfRule type="containsText" dxfId="1512" priority="3985" operator="containsText" text="Mid">
      <formula>NOT(ISERROR(SEARCH("Mid",X21)))</formula>
    </cfRule>
    <cfRule type="containsText" dxfId="1511" priority="3986" operator="containsText" text="Large">
      <formula>NOT(ISERROR(SEARCH("Large",X21)))</formula>
    </cfRule>
  </conditionalFormatting>
  <conditionalFormatting sqref="X21">
    <cfRule type="containsText" dxfId="1510" priority="3981" operator="containsText" text="Small">
      <formula>NOT(ISERROR(SEARCH("Small",X21)))</formula>
    </cfRule>
    <cfRule type="containsText" dxfId="1509" priority="3982" operator="containsText" text="Mid">
      <formula>NOT(ISERROR(SEARCH("Mid",X21)))</formula>
    </cfRule>
    <cfRule type="containsText" dxfId="1508" priority="3983" operator="containsText" text="Large">
      <formula>NOT(ISERROR(SEARCH("Large",X21)))</formula>
    </cfRule>
  </conditionalFormatting>
  <conditionalFormatting sqref="X49">
    <cfRule type="containsText" dxfId="1507" priority="3975" operator="containsText" text="Small">
      <formula>NOT(ISERROR(SEARCH("Small",X49)))</formula>
    </cfRule>
    <cfRule type="containsText" dxfId="1506" priority="3976" operator="containsText" text="Mid">
      <formula>NOT(ISERROR(SEARCH("Mid",X49)))</formula>
    </cfRule>
    <cfRule type="containsText" dxfId="1505" priority="3977" operator="containsText" text="Large">
      <formula>NOT(ISERROR(SEARCH("Large",X49)))</formula>
    </cfRule>
  </conditionalFormatting>
  <conditionalFormatting sqref="X49">
    <cfRule type="containsText" dxfId="1504" priority="3969" operator="containsText" text="Small">
      <formula>NOT(ISERROR(SEARCH("Small",X49)))</formula>
    </cfRule>
    <cfRule type="containsText" dxfId="1503" priority="3970" operator="containsText" text="Mid">
      <formula>NOT(ISERROR(SEARCH("Mid",X49)))</formula>
    </cfRule>
    <cfRule type="containsText" dxfId="1502" priority="3971" operator="containsText" text="Large">
      <formula>NOT(ISERROR(SEARCH("Large",X49)))</formula>
    </cfRule>
  </conditionalFormatting>
  <conditionalFormatting sqref="X49">
    <cfRule type="containsText" dxfId="1501" priority="3966" operator="containsText" text="Small">
      <formula>NOT(ISERROR(SEARCH("Small",X49)))</formula>
    </cfRule>
    <cfRule type="containsText" dxfId="1500" priority="3967" operator="containsText" text="Mid">
      <formula>NOT(ISERROR(SEARCH("Mid",X49)))</formula>
    </cfRule>
    <cfRule type="containsText" dxfId="1499" priority="3968" operator="containsText" text="Large">
      <formula>NOT(ISERROR(SEARCH("Large",X49)))</formula>
    </cfRule>
  </conditionalFormatting>
  <conditionalFormatting sqref="X49">
    <cfRule type="containsText" dxfId="1498" priority="3951" operator="containsText" text="Small">
      <formula>NOT(ISERROR(SEARCH("Small",X49)))</formula>
    </cfRule>
    <cfRule type="containsText" dxfId="1497" priority="3952" operator="containsText" text="Mid">
      <formula>NOT(ISERROR(SEARCH("Mid",X49)))</formula>
    </cfRule>
    <cfRule type="containsText" dxfId="1496" priority="3953" operator="containsText" text="Large">
      <formula>NOT(ISERROR(SEARCH("Large",X49)))</formula>
    </cfRule>
  </conditionalFormatting>
  <conditionalFormatting sqref="X49">
    <cfRule type="containsText" dxfId="1495" priority="3948" operator="containsText" text="Small">
      <formula>NOT(ISERROR(SEARCH("Small",X49)))</formula>
    </cfRule>
    <cfRule type="containsText" dxfId="1494" priority="3949" operator="containsText" text="Mid">
      <formula>NOT(ISERROR(SEARCH("Mid",X49)))</formula>
    </cfRule>
    <cfRule type="containsText" dxfId="1493" priority="3950" operator="containsText" text="Large">
      <formula>NOT(ISERROR(SEARCH("Large",X49)))</formula>
    </cfRule>
  </conditionalFormatting>
  <conditionalFormatting sqref="X49">
    <cfRule type="containsText" dxfId="1492" priority="3945" operator="containsText" text="Small">
      <formula>NOT(ISERROR(SEARCH("Small",X49)))</formula>
    </cfRule>
    <cfRule type="containsText" dxfId="1491" priority="3946" operator="containsText" text="Mid">
      <formula>NOT(ISERROR(SEARCH("Mid",X49)))</formula>
    </cfRule>
    <cfRule type="containsText" dxfId="1490" priority="3947" operator="containsText" text="Large">
      <formula>NOT(ISERROR(SEARCH("Large",X49)))</formula>
    </cfRule>
  </conditionalFormatting>
  <conditionalFormatting sqref="X49">
    <cfRule type="containsText" dxfId="1489" priority="3921" operator="containsText" text="Small">
      <formula>NOT(ISERROR(SEARCH("Small",X49)))</formula>
    </cfRule>
    <cfRule type="containsText" dxfId="1488" priority="3922" operator="containsText" text="Mid">
      <formula>NOT(ISERROR(SEARCH("Mid",X49)))</formula>
    </cfRule>
    <cfRule type="containsText" dxfId="1487" priority="3923" operator="containsText" text="Large">
      <formula>NOT(ISERROR(SEARCH("Large",X49)))</formula>
    </cfRule>
  </conditionalFormatting>
  <conditionalFormatting sqref="X49">
    <cfRule type="containsText" dxfId="1486" priority="3918" operator="containsText" text="Small">
      <formula>NOT(ISERROR(SEARCH("Small",X49)))</formula>
    </cfRule>
    <cfRule type="containsText" dxfId="1485" priority="3919" operator="containsText" text="Mid">
      <formula>NOT(ISERROR(SEARCH("Mid",X49)))</formula>
    </cfRule>
    <cfRule type="containsText" dxfId="1484" priority="3920" operator="containsText" text="Large">
      <formula>NOT(ISERROR(SEARCH("Large",X49)))</formula>
    </cfRule>
  </conditionalFormatting>
  <conditionalFormatting sqref="X49">
    <cfRule type="containsText" dxfId="1483" priority="3915" operator="containsText" text="Small">
      <formula>NOT(ISERROR(SEARCH("Small",X49)))</formula>
    </cfRule>
    <cfRule type="containsText" dxfId="1482" priority="3916" operator="containsText" text="Mid">
      <formula>NOT(ISERROR(SEARCH("Mid",X49)))</formula>
    </cfRule>
    <cfRule type="containsText" dxfId="1481" priority="3917" operator="containsText" text="Large">
      <formula>NOT(ISERROR(SEARCH("Large",X49)))</formula>
    </cfRule>
  </conditionalFormatting>
  <conditionalFormatting sqref="X49">
    <cfRule type="containsText" dxfId="1480" priority="3912" operator="containsText" text="Small">
      <formula>NOT(ISERROR(SEARCH("Small",X49)))</formula>
    </cfRule>
    <cfRule type="containsText" dxfId="1479" priority="3913" operator="containsText" text="Mid">
      <formula>NOT(ISERROR(SEARCH("Mid",X49)))</formula>
    </cfRule>
    <cfRule type="containsText" dxfId="1478" priority="3914" operator="containsText" text="Large">
      <formula>NOT(ISERROR(SEARCH("Large",X49)))</formula>
    </cfRule>
  </conditionalFormatting>
  <conditionalFormatting sqref="T9">
    <cfRule type="cellIs" dxfId="1477" priority="3285" operator="lessThan">
      <formula>0</formula>
    </cfRule>
  </conditionalFormatting>
  <conditionalFormatting sqref="T9">
    <cfRule type="cellIs" dxfId="1476" priority="3284" operator="greaterThan">
      <formula>0</formula>
    </cfRule>
  </conditionalFormatting>
  <conditionalFormatting sqref="T9">
    <cfRule type="cellIs" dxfId="1475" priority="3283" operator="greaterThan">
      <formula>0</formula>
    </cfRule>
  </conditionalFormatting>
  <conditionalFormatting sqref="X49">
    <cfRule type="containsText" dxfId="1474" priority="2341" operator="containsText" text="No Cap">
      <formula>NOT(ISERROR(SEARCH("No Cap",X49)))</formula>
    </cfRule>
  </conditionalFormatting>
  <conditionalFormatting sqref="X49">
    <cfRule type="containsText" dxfId="1473" priority="2340" operator="containsText" text="No Cap">
      <formula>NOT(ISERROR(SEARCH("No Cap",X49)))</formula>
    </cfRule>
  </conditionalFormatting>
  <conditionalFormatting sqref="X49">
    <cfRule type="containsText" dxfId="1472" priority="2337" operator="containsText" text="Small">
      <formula>NOT(ISERROR(SEARCH("Small",X49)))</formula>
    </cfRule>
    <cfRule type="containsText" dxfId="1471" priority="2338" operator="containsText" text="Mid">
      <formula>NOT(ISERROR(SEARCH("Mid",X49)))</formula>
    </cfRule>
    <cfRule type="containsText" dxfId="1470" priority="2339" operator="containsText" text="Large">
      <formula>NOT(ISERROR(SEARCH("Large",X49)))</formula>
    </cfRule>
  </conditionalFormatting>
  <conditionalFormatting sqref="X49">
    <cfRule type="containsText" dxfId="1469" priority="2334" operator="containsText" text="Small">
      <formula>NOT(ISERROR(SEARCH("Small",X49)))</formula>
    </cfRule>
    <cfRule type="containsText" dxfId="1468" priority="2335" operator="containsText" text="Mid">
      <formula>NOT(ISERROR(SEARCH("Mid",X49)))</formula>
    </cfRule>
    <cfRule type="containsText" dxfId="1467" priority="2336" operator="containsText" text="Large">
      <formula>NOT(ISERROR(SEARCH("Large",X49)))</formula>
    </cfRule>
  </conditionalFormatting>
  <conditionalFormatting sqref="X49">
    <cfRule type="containsText" dxfId="1466" priority="2331" operator="containsText" text="Small">
      <formula>NOT(ISERROR(SEARCH("Small",X49)))</formula>
    </cfRule>
    <cfRule type="containsText" dxfId="1465" priority="2332" operator="containsText" text="Mid">
      <formula>NOT(ISERROR(SEARCH("Mid",X49)))</formula>
    </cfRule>
    <cfRule type="containsText" dxfId="1464" priority="2333" operator="containsText" text="Large">
      <formula>NOT(ISERROR(SEARCH("Large",X49)))</formula>
    </cfRule>
  </conditionalFormatting>
  <conditionalFormatting sqref="X49">
    <cfRule type="containsText" dxfId="1463" priority="2330" operator="containsText" text="No Cap">
      <formula>NOT(ISERROR(SEARCH("No Cap",X49)))</formula>
    </cfRule>
  </conditionalFormatting>
  <conditionalFormatting sqref="X49">
    <cfRule type="containsText" dxfId="1462" priority="2329" operator="containsText" text="No Cap">
      <formula>NOT(ISERROR(SEARCH("No Cap",X49)))</formula>
    </cfRule>
  </conditionalFormatting>
  <conditionalFormatting sqref="X49">
    <cfRule type="containsText" dxfId="1461" priority="2326" operator="containsText" text="Small">
      <formula>NOT(ISERROR(SEARCH("Small",X49)))</formula>
    </cfRule>
    <cfRule type="containsText" dxfId="1460" priority="2327" operator="containsText" text="Mid">
      <formula>NOT(ISERROR(SEARCH("Mid",X49)))</formula>
    </cfRule>
    <cfRule type="containsText" dxfId="1459" priority="2328" operator="containsText" text="Large">
      <formula>NOT(ISERROR(SEARCH("Large",X49)))</formula>
    </cfRule>
  </conditionalFormatting>
  <conditionalFormatting sqref="X49">
    <cfRule type="containsText" dxfId="1458" priority="2323" operator="containsText" text="Small">
      <formula>NOT(ISERROR(SEARCH("Small",X49)))</formula>
    </cfRule>
    <cfRule type="containsText" dxfId="1457" priority="2324" operator="containsText" text="Mid">
      <formula>NOT(ISERROR(SEARCH("Mid",X49)))</formula>
    </cfRule>
    <cfRule type="containsText" dxfId="1456" priority="2325" operator="containsText" text="Large">
      <formula>NOT(ISERROR(SEARCH("Large",X49)))</formula>
    </cfRule>
  </conditionalFormatting>
  <conditionalFormatting sqref="X49">
    <cfRule type="containsText" dxfId="1455" priority="2320" operator="containsText" text="Small">
      <formula>NOT(ISERROR(SEARCH("Small",X49)))</formula>
    </cfRule>
    <cfRule type="containsText" dxfId="1454" priority="2321" operator="containsText" text="Mid">
      <formula>NOT(ISERROR(SEARCH("Mid",X49)))</formula>
    </cfRule>
    <cfRule type="containsText" dxfId="1453" priority="2322" operator="containsText" text="Large">
      <formula>NOT(ISERROR(SEARCH("Large",X49)))</formula>
    </cfRule>
  </conditionalFormatting>
  <conditionalFormatting sqref="X49">
    <cfRule type="containsText" dxfId="1452" priority="2319" operator="containsText" text="No Cap">
      <formula>NOT(ISERROR(SEARCH("No Cap",X49)))</formula>
    </cfRule>
  </conditionalFormatting>
  <conditionalFormatting sqref="X49">
    <cfRule type="containsText" dxfId="1451" priority="2318" operator="containsText" text="No Cap">
      <formula>NOT(ISERROR(SEARCH("No Cap",X49)))</formula>
    </cfRule>
  </conditionalFormatting>
  <conditionalFormatting sqref="X49">
    <cfRule type="containsText" dxfId="1450" priority="2315" operator="containsText" text="Small">
      <formula>NOT(ISERROR(SEARCH("Small",X49)))</formula>
    </cfRule>
    <cfRule type="containsText" dxfId="1449" priority="2316" operator="containsText" text="Mid">
      <formula>NOT(ISERROR(SEARCH("Mid",X49)))</formula>
    </cfRule>
    <cfRule type="containsText" dxfId="1448" priority="2317" operator="containsText" text="Large">
      <formula>NOT(ISERROR(SEARCH("Large",X49)))</formula>
    </cfRule>
  </conditionalFormatting>
  <conditionalFormatting sqref="X49">
    <cfRule type="containsText" dxfId="1447" priority="2312" operator="containsText" text="Small">
      <formula>NOT(ISERROR(SEARCH("Small",X49)))</formula>
    </cfRule>
    <cfRule type="containsText" dxfId="1446" priority="2313" operator="containsText" text="Mid">
      <formula>NOT(ISERROR(SEARCH("Mid",X49)))</formula>
    </cfRule>
    <cfRule type="containsText" dxfId="1445" priority="2314" operator="containsText" text="Large">
      <formula>NOT(ISERROR(SEARCH("Large",X49)))</formula>
    </cfRule>
  </conditionalFormatting>
  <conditionalFormatting sqref="X49">
    <cfRule type="containsText" dxfId="1444" priority="2309" operator="containsText" text="Small">
      <formula>NOT(ISERROR(SEARCH("Small",X49)))</formula>
    </cfRule>
    <cfRule type="containsText" dxfId="1443" priority="2310" operator="containsText" text="Mid">
      <formula>NOT(ISERROR(SEARCH("Mid",X49)))</formula>
    </cfRule>
    <cfRule type="containsText" dxfId="1442" priority="2311" operator="containsText" text="Large">
      <formula>NOT(ISERROR(SEARCH("Large",X49)))</formula>
    </cfRule>
  </conditionalFormatting>
  <conditionalFormatting sqref="X49">
    <cfRule type="containsText" dxfId="1441" priority="2308" operator="containsText" text="NA">
      <formula>NOT(ISERROR(SEARCH("NA",X49)))</formula>
    </cfRule>
  </conditionalFormatting>
  <conditionalFormatting sqref="X49">
    <cfRule type="containsText" dxfId="1440" priority="2305" operator="containsText" text="Small">
      <formula>NOT(ISERROR(SEARCH("Small",X49)))</formula>
    </cfRule>
    <cfRule type="containsText" dxfId="1439" priority="2306" operator="containsText" text="Mid">
      <formula>NOT(ISERROR(SEARCH("Mid",X49)))</formula>
    </cfRule>
    <cfRule type="containsText" dxfId="1438" priority="2307" operator="containsText" text="Large">
      <formula>NOT(ISERROR(SEARCH("Large",X49)))</formula>
    </cfRule>
  </conditionalFormatting>
  <conditionalFormatting sqref="X49">
    <cfRule type="containsText" dxfId="1437" priority="2302" operator="containsText" text="Small">
      <formula>NOT(ISERROR(SEARCH("Small",X49)))</formula>
    </cfRule>
    <cfRule type="containsText" dxfId="1436" priority="2303" operator="containsText" text="Mid">
      <formula>NOT(ISERROR(SEARCH("Mid",X49)))</formula>
    </cfRule>
    <cfRule type="containsText" dxfId="1435" priority="2304" operator="containsText" text="Large">
      <formula>NOT(ISERROR(SEARCH("Large",X49)))</formula>
    </cfRule>
  </conditionalFormatting>
  <conditionalFormatting sqref="X49">
    <cfRule type="containsText" dxfId="1434" priority="2299" operator="containsText" text="Small">
      <formula>NOT(ISERROR(SEARCH("Small",X49)))</formula>
    </cfRule>
    <cfRule type="containsText" dxfId="1433" priority="2300" operator="containsText" text="Mid">
      <formula>NOT(ISERROR(SEARCH("Mid",X49)))</formula>
    </cfRule>
    <cfRule type="containsText" dxfId="1432" priority="2301" operator="containsText" text="Large">
      <formula>NOT(ISERROR(SEARCH("Large",X49)))</formula>
    </cfRule>
  </conditionalFormatting>
  <conditionalFormatting sqref="X49">
    <cfRule type="containsText" dxfId="1431" priority="2296" operator="containsText" text="Small">
      <formula>NOT(ISERROR(SEARCH("Small",X49)))</formula>
    </cfRule>
    <cfRule type="containsText" dxfId="1430" priority="2297" operator="containsText" text="Mid">
      <formula>NOT(ISERROR(SEARCH("Mid",X49)))</formula>
    </cfRule>
    <cfRule type="containsText" dxfId="1429" priority="2298" operator="containsText" text="Large">
      <formula>NOT(ISERROR(SEARCH("Large",X49)))</formula>
    </cfRule>
  </conditionalFormatting>
  <conditionalFormatting sqref="X49">
    <cfRule type="containsText" dxfId="1428" priority="2293" operator="containsText" text="Small">
      <formula>NOT(ISERROR(SEARCH("Small",X49)))</formula>
    </cfRule>
    <cfRule type="containsText" dxfId="1427" priority="2294" operator="containsText" text="Mid">
      <formula>NOT(ISERROR(SEARCH("Mid",X49)))</formula>
    </cfRule>
    <cfRule type="containsText" dxfId="1426" priority="2295" operator="containsText" text="Large">
      <formula>NOT(ISERROR(SEARCH("Large",X49)))</formula>
    </cfRule>
  </conditionalFormatting>
  <conditionalFormatting sqref="X49">
    <cfRule type="containsText" dxfId="1425" priority="2290" operator="containsText" text="Small">
      <formula>NOT(ISERROR(SEARCH("Small",X49)))</formula>
    </cfRule>
    <cfRule type="containsText" dxfId="1424" priority="2291" operator="containsText" text="Mid">
      <formula>NOT(ISERROR(SEARCH("Mid",X49)))</formula>
    </cfRule>
    <cfRule type="containsText" dxfId="1423" priority="2292" operator="containsText" text="Large">
      <formula>NOT(ISERROR(SEARCH("Large",X49)))</formula>
    </cfRule>
  </conditionalFormatting>
  <conditionalFormatting sqref="X49">
    <cfRule type="containsText" dxfId="1422" priority="2287" operator="containsText" text="Small">
      <formula>NOT(ISERROR(SEARCH("Small",X49)))</formula>
    </cfRule>
    <cfRule type="containsText" dxfId="1421" priority="2288" operator="containsText" text="Mid">
      <formula>NOT(ISERROR(SEARCH("Mid",X49)))</formula>
    </cfRule>
    <cfRule type="containsText" dxfId="1420" priority="2289" operator="containsText" text="Large">
      <formula>NOT(ISERROR(SEARCH("Large",X49)))</formula>
    </cfRule>
  </conditionalFormatting>
  <conditionalFormatting sqref="X49">
    <cfRule type="containsText" dxfId="1419" priority="2284" operator="containsText" text="Small">
      <formula>NOT(ISERROR(SEARCH("Small",X49)))</formula>
    </cfRule>
    <cfRule type="containsText" dxfId="1418" priority="2285" operator="containsText" text="Mid">
      <formula>NOT(ISERROR(SEARCH("Mid",X49)))</formula>
    </cfRule>
    <cfRule type="containsText" dxfId="1417" priority="2286" operator="containsText" text="Large">
      <formula>NOT(ISERROR(SEARCH("Large",X49)))</formula>
    </cfRule>
  </conditionalFormatting>
  <conditionalFormatting sqref="X49">
    <cfRule type="containsText" dxfId="1416" priority="2281" operator="containsText" text="Small">
      <formula>NOT(ISERROR(SEARCH("Small",X49)))</formula>
    </cfRule>
    <cfRule type="containsText" dxfId="1415" priority="2282" operator="containsText" text="Mid">
      <formula>NOT(ISERROR(SEARCH("Mid",X49)))</formula>
    </cfRule>
    <cfRule type="containsText" dxfId="1414" priority="2283" operator="containsText" text="Large">
      <formula>NOT(ISERROR(SEARCH("Large",X49)))</formula>
    </cfRule>
  </conditionalFormatting>
  <conditionalFormatting sqref="X49">
    <cfRule type="containsText" dxfId="1413" priority="2278" operator="containsText" text="Small">
      <formula>NOT(ISERROR(SEARCH("Small",X49)))</formula>
    </cfRule>
    <cfRule type="containsText" dxfId="1412" priority="2279" operator="containsText" text="Mid">
      <formula>NOT(ISERROR(SEARCH("Mid",X49)))</formula>
    </cfRule>
    <cfRule type="containsText" dxfId="1411" priority="2280" operator="containsText" text="Large">
      <formula>NOT(ISERROR(SEARCH("Large",X49)))</formula>
    </cfRule>
  </conditionalFormatting>
  <conditionalFormatting sqref="X49">
    <cfRule type="containsText" dxfId="1410" priority="2275" operator="containsText" text="Small">
      <formula>NOT(ISERROR(SEARCH("Small",X49)))</formula>
    </cfRule>
    <cfRule type="containsText" dxfId="1409" priority="2276" operator="containsText" text="Mid">
      <formula>NOT(ISERROR(SEARCH("Mid",X49)))</formula>
    </cfRule>
    <cfRule type="containsText" dxfId="1408" priority="2277" operator="containsText" text="Large">
      <formula>NOT(ISERROR(SEARCH("Large",X49)))</formula>
    </cfRule>
  </conditionalFormatting>
  <conditionalFormatting sqref="X49">
    <cfRule type="containsText" dxfId="1407" priority="2272" operator="containsText" text="Small">
      <formula>NOT(ISERROR(SEARCH("Small",X49)))</formula>
    </cfRule>
    <cfRule type="containsText" dxfId="1406" priority="2273" operator="containsText" text="Mid">
      <formula>NOT(ISERROR(SEARCH("Mid",X49)))</formula>
    </cfRule>
    <cfRule type="containsText" dxfId="1405" priority="2274" operator="containsText" text="Large">
      <formula>NOT(ISERROR(SEARCH("Large",X49)))</formula>
    </cfRule>
  </conditionalFormatting>
  <conditionalFormatting sqref="X49">
    <cfRule type="containsText" dxfId="1404" priority="2269" operator="containsText" text="Small">
      <formula>NOT(ISERROR(SEARCH("Small",X49)))</formula>
    </cfRule>
    <cfRule type="containsText" dxfId="1403" priority="2270" operator="containsText" text="Mid">
      <formula>NOT(ISERROR(SEARCH("Mid",X49)))</formula>
    </cfRule>
    <cfRule type="containsText" dxfId="1402" priority="2271" operator="containsText" text="Large">
      <formula>NOT(ISERROR(SEARCH("Large",X49)))</formula>
    </cfRule>
  </conditionalFormatting>
  <conditionalFormatting sqref="X49">
    <cfRule type="containsText" dxfId="1401" priority="2266" operator="containsText" text="Small">
      <formula>NOT(ISERROR(SEARCH("Small",X49)))</formula>
    </cfRule>
    <cfRule type="containsText" dxfId="1400" priority="2267" operator="containsText" text="Mid">
      <formula>NOT(ISERROR(SEARCH("Mid",X49)))</formula>
    </cfRule>
    <cfRule type="containsText" dxfId="1399" priority="2268" operator="containsText" text="Large">
      <formula>NOT(ISERROR(SEARCH("Large",X49)))</formula>
    </cfRule>
  </conditionalFormatting>
  <conditionalFormatting sqref="X49">
    <cfRule type="containsText" dxfId="1398" priority="2263" operator="containsText" text="Small">
      <formula>NOT(ISERROR(SEARCH("Small",X49)))</formula>
    </cfRule>
    <cfRule type="containsText" dxfId="1397" priority="2264" operator="containsText" text="Mid">
      <formula>NOT(ISERROR(SEARCH("Mid",X49)))</formula>
    </cfRule>
    <cfRule type="containsText" dxfId="1396" priority="2265" operator="containsText" text="Large">
      <formula>NOT(ISERROR(SEARCH("Large",X49)))</formula>
    </cfRule>
  </conditionalFormatting>
  <conditionalFormatting sqref="X49">
    <cfRule type="containsText" dxfId="1395" priority="2260" operator="containsText" text="Small">
      <formula>NOT(ISERROR(SEARCH("Small",X49)))</formula>
    </cfRule>
    <cfRule type="containsText" dxfId="1394" priority="2261" operator="containsText" text="Mid">
      <formula>NOT(ISERROR(SEARCH("Mid",X49)))</formula>
    </cfRule>
    <cfRule type="containsText" dxfId="1393" priority="2262" operator="containsText" text="Large">
      <formula>NOT(ISERROR(SEARCH("Large",X49)))</formula>
    </cfRule>
  </conditionalFormatting>
  <conditionalFormatting sqref="X49">
    <cfRule type="containsText" dxfId="1392" priority="2257" operator="containsText" text="Small">
      <formula>NOT(ISERROR(SEARCH("Small",X49)))</formula>
    </cfRule>
    <cfRule type="containsText" dxfId="1391" priority="2258" operator="containsText" text="Mid">
      <formula>NOT(ISERROR(SEARCH("Mid",X49)))</formula>
    </cfRule>
    <cfRule type="containsText" dxfId="1390" priority="2259" operator="containsText" text="Large">
      <formula>NOT(ISERROR(SEARCH("Large",X49)))</formula>
    </cfRule>
  </conditionalFormatting>
  <conditionalFormatting sqref="X49">
    <cfRule type="containsText" dxfId="1389" priority="2254" operator="containsText" text="Small">
      <formula>NOT(ISERROR(SEARCH("Small",X49)))</formula>
    </cfRule>
    <cfRule type="containsText" dxfId="1388" priority="2255" operator="containsText" text="Mid">
      <formula>NOT(ISERROR(SEARCH("Mid",X49)))</formula>
    </cfRule>
    <cfRule type="containsText" dxfId="1387" priority="2256" operator="containsText" text="Large">
      <formula>NOT(ISERROR(SEARCH("Large",X49)))</formula>
    </cfRule>
  </conditionalFormatting>
  <conditionalFormatting sqref="X49">
    <cfRule type="containsText" dxfId="1386" priority="2251" operator="containsText" text="Small">
      <formula>NOT(ISERROR(SEARCH("Small",X49)))</formula>
    </cfRule>
    <cfRule type="containsText" dxfId="1385" priority="2252" operator="containsText" text="Mid">
      <formula>NOT(ISERROR(SEARCH("Mid",X49)))</formula>
    </cfRule>
    <cfRule type="containsText" dxfId="1384" priority="2253" operator="containsText" text="Large">
      <formula>NOT(ISERROR(SEARCH("Large",X49)))</formula>
    </cfRule>
  </conditionalFormatting>
  <conditionalFormatting sqref="X49">
    <cfRule type="containsText" dxfId="1383" priority="2248" operator="containsText" text="Small">
      <formula>NOT(ISERROR(SEARCH("Small",X49)))</formula>
    </cfRule>
    <cfRule type="containsText" dxfId="1382" priority="2249" operator="containsText" text="Mid">
      <formula>NOT(ISERROR(SEARCH("Mid",X49)))</formula>
    </cfRule>
    <cfRule type="containsText" dxfId="1381" priority="2250" operator="containsText" text="Large">
      <formula>NOT(ISERROR(SEARCH("Large",X49)))</formula>
    </cfRule>
  </conditionalFormatting>
  <conditionalFormatting sqref="X49">
    <cfRule type="containsText" dxfId="1380" priority="2245" operator="containsText" text="Small">
      <formula>NOT(ISERROR(SEARCH("Small",X49)))</formula>
    </cfRule>
    <cfRule type="containsText" dxfId="1379" priority="2246" operator="containsText" text="Mid">
      <formula>NOT(ISERROR(SEARCH("Mid",X49)))</formula>
    </cfRule>
    <cfRule type="containsText" dxfId="1378" priority="2247" operator="containsText" text="Large">
      <formula>NOT(ISERROR(SEARCH("Large",X49)))</formula>
    </cfRule>
  </conditionalFormatting>
  <conditionalFormatting sqref="X49">
    <cfRule type="containsText" dxfId="1377" priority="2242" operator="containsText" text="Small">
      <formula>NOT(ISERROR(SEARCH("Small",X49)))</formula>
    </cfRule>
    <cfRule type="containsText" dxfId="1376" priority="2243" operator="containsText" text="Mid">
      <formula>NOT(ISERROR(SEARCH("Mid",X49)))</formula>
    </cfRule>
    <cfRule type="containsText" dxfId="1375" priority="2244" operator="containsText" text="Large">
      <formula>NOT(ISERROR(SEARCH("Large",X49)))</formula>
    </cfRule>
  </conditionalFormatting>
  <conditionalFormatting sqref="X49">
    <cfRule type="containsText" dxfId="1374" priority="2239" operator="containsText" text="Small">
      <formula>NOT(ISERROR(SEARCH("Small",X49)))</formula>
    </cfRule>
    <cfRule type="containsText" dxfId="1373" priority="2240" operator="containsText" text="Mid">
      <formula>NOT(ISERROR(SEARCH("Mid",X49)))</formula>
    </cfRule>
    <cfRule type="containsText" dxfId="1372" priority="2241" operator="containsText" text="Large">
      <formula>NOT(ISERROR(SEARCH("Large",X49)))</formula>
    </cfRule>
  </conditionalFormatting>
  <conditionalFormatting sqref="X49">
    <cfRule type="containsText" dxfId="1371" priority="2236" operator="containsText" text="Small">
      <formula>NOT(ISERROR(SEARCH("Small",X49)))</formula>
    </cfRule>
    <cfRule type="containsText" dxfId="1370" priority="2237" operator="containsText" text="Mid">
      <formula>NOT(ISERROR(SEARCH("Mid",X49)))</formula>
    </cfRule>
    <cfRule type="containsText" dxfId="1369" priority="2238" operator="containsText" text="Large">
      <formula>NOT(ISERROR(SEARCH("Large",X49)))</formula>
    </cfRule>
  </conditionalFormatting>
  <conditionalFormatting sqref="X49">
    <cfRule type="containsText" dxfId="1368" priority="2233" operator="containsText" text="Small">
      <formula>NOT(ISERROR(SEARCH("Small",X49)))</formula>
    </cfRule>
    <cfRule type="containsText" dxfId="1367" priority="2234" operator="containsText" text="Mid">
      <formula>NOT(ISERROR(SEARCH("Mid",X49)))</formula>
    </cfRule>
    <cfRule type="containsText" dxfId="1366" priority="2235" operator="containsText" text="Large">
      <formula>NOT(ISERROR(SEARCH("Large",X49)))</formula>
    </cfRule>
  </conditionalFormatting>
  <conditionalFormatting sqref="X49">
    <cfRule type="containsText" dxfId="1365" priority="2230" operator="containsText" text="Small">
      <formula>NOT(ISERROR(SEARCH("Small",X49)))</formula>
    </cfRule>
    <cfRule type="containsText" dxfId="1364" priority="2231" operator="containsText" text="Mid">
      <formula>NOT(ISERROR(SEARCH("Mid",X49)))</formula>
    </cfRule>
    <cfRule type="containsText" dxfId="1363" priority="2232" operator="containsText" text="Large">
      <formula>NOT(ISERROR(SEARCH("Large",X49)))</formula>
    </cfRule>
  </conditionalFormatting>
  <conditionalFormatting sqref="X49">
    <cfRule type="containsText" dxfId="1362" priority="2227" operator="containsText" text="Small">
      <formula>NOT(ISERROR(SEARCH("Small",X49)))</formula>
    </cfRule>
    <cfRule type="containsText" dxfId="1361" priority="2228" operator="containsText" text="Mid">
      <formula>NOT(ISERROR(SEARCH("Mid",X49)))</formula>
    </cfRule>
    <cfRule type="containsText" dxfId="1360" priority="2229" operator="containsText" text="Large">
      <formula>NOT(ISERROR(SEARCH("Large",X49)))</formula>
    </cfRule>
  </conditionalFormatting>
  <conditionalFormatting sqref="X49">
    <cfRule type="containsText" dxfId="1359" priority="2224" operator="containsText" text="Small">
      <formula>NOT(ISERROR(SEARCH("Small",X49)))</formula>
    </cfRule>
    <cfRule type="containsText" dxfId="1358" priority="2225" operator="containsText" text="Mid">
      <formula>NOT(ISERROR(SEARCH("Mid",X49)))</formula>
    </cfRule>
    <cfRule type="containsText" dxfId="1357" priority="2226" operator="containsText" text="Large">
      <formula>NOT(ISERROR(SEARCH("Large",X49)))</formula>
    </cfRule>
  </conditionalFormatting>
  <conditionalFormatting sqref="X49">
    <cfRule type="containsText" dxfId="1356" priority="2221" operator="containsText" text="Small">
      <formula>NOT(ISERROR(SEARCH("Small",X49)))</formula>
    </cfRule>
    <cfRule type="containsText" dxfId="1355" priority="2222" operator="containsText" text="Mid">
      <formula>NOT(ISERROR(SEARCH("Mid",X49)))</formula>
    </cfRule>
    <cfRule type="containsText" dxfId="1354" priority="2223" operator="containsText" text="Large">
      <formula>NOT(ISERROR(SEARCH("Large",X49)))</formula>
    </cfRule>
  </conditionalFormatting>
  <conditionalFormatting sqref="X49">
    <cfRule type="containsText" dxfId="1353" priority="2218" operator="containsText" text="Small">
      <formula>NOT(ISERROR(SEARCH("Small",X49)))</formula>
    </cfRule>
    <cfRule type="containsText" dxfId="1352" priority="2219" operator="containsText" text="Mid">
      <formula>NOT(ISERROR(SEARCH("Mid",X49)))</formula>
    </cfRule>
    <cfRule type="containsText" dxfId="1351" priority="2220" operator="containsText" text="Large">
      <formula>NOT(ISERROR(SEARCH("Large",X49)))</formula>
    </cfRule>
  </conditionalFormatting>
  <conditionalFormatting sqref="X49">
    <cfRule type="containsText" dxfId="1350" priority="2215" operator="containsText" text="Small">
      <formula>NOT(ISERROR(SEARCH("Small",X49)))</formula>
    </cfRule>
    <cfRule type="containsText" dxfId="1349" priority="2216" operator="containsText" text="Mid">
      <formula>NOT(ISERROR(SEARCH("Mid",X49)))</formula>
    </cfRule>
    <cfRule type="containsText" dxfId="1348" priority="2217" operator="containsText" text="Large">
      <formula>NOT(ISERROR(SEARCH("Large",X49)))</formula>
    </cfRule>
  </conditionalFormatting>
  <conditionalFormatting sqref="X49">
    <cfRule type="containsText" dxfId="1347" priority="2212" operator="containsText" text="Small">
      <formula>NOT(ISERROR(SEARCH("Small",X49)))</formula>
    </cfRule>
    <cfRule type="containsText" dxfId="1346" priority="2213" operator="containsText" text="Mid">
      <formula>NOT(ISERROR(SEARCH("Mid",X49)))</formula>
    </cfRule>
    <cfRule type="containsText" dxfId="1345" priority="2214" operator="containsText" text="Large">
      <formula>NOT(ISERROR(SEARCH("Large",X49)))</formula>
    </cfRule>
  </conditionalFormatting>
  <conditionalFormatting sqref="X49">
    <cfRule type="containsText" dxfId="1344" priority="2209" operator="containsText" text="Small">
      <formula>NOT(ISERROR(SEARCH("Small",X49)))</formula>
    </cfRule>
    <cfRule type="containsText" dxfId="1343" priority="2210" operator="containsText" text="Mid">
      <formula>NOT(ISERROR(SEARCH("Mid",X49)))</formula>
    </cfRule>
    <cfRule type="containsText" dxfId="1342" priority="2211" operator="containsText" text="Large">
      <formula>NOT(ISERROR(SEARCH("Large",X49)))</formula>
    </cfRule>
  </conditionalFormatting>
  <conditionalFormatting sqref="X49">
    <cfRule type="containsText" dxfId="1341" priority="2206" operator="containsText" text="Small">
      <formula>NOT(ISERROR(SEARCH("Small",X49)))</formula>
    </cfRule>
    <cfRule type="containsText" dxfId="1340" priority="2207" operator="containsText" text="Mid">
      <formula>NOT(ISERROR(SEARCH("Mid",X49)))</formula>
    </cfRule>
    <cfRule type="containsText" dxfId="1339" priority="2208" operator="containsText" text="Large">
      <formula>NOT(ISERROR(SEARCH("Large",X49)))</formula>
    </cfRule>
  </conditionalFormatting>
  <conditionalFormatting sqref="X49">
    <cfRule type="containsText" dxfId="1338" priority="2203" operator="containsText" text="Small">
      <formula>NOT(ISERROR(SEARCH("Small",X49)))</formula>
    </cfRule>
    <cfRule type="containsText" dxfId="1337" priority="2204" operator="containsText" text="Mid">
      <formula>NOT(ISERROR(SEARCH("Mid",X49)))</formula>
    </cfRule>
    <cfRule type="containsText" dxfId="1336" priority="2205" operator="containsText" text="Large">
      <formula>NOT(ISERROR(SEARCH("Large",X49)))</formula>
    </cfRule>
  </conditionalFormatting>
  <conditionalFormatting sqref="X49">
    <cfRule type="containsText" dxfId="1335" priority="2200" operator="containsText" text="Small">
      <formula>NOT(ISERROR(SEARCH("Small",X49)))</formula>
    </cfRule>
    <cfRule type="containsText" dxfId="1334" priority="2201" operator="containsText" text="Mid">
      <formula>NOT(ISERROR(SEARCH("Mid",X49)))</formula>
    </cfRule>
    <cfRule type="containsText" dxfId="1333" priority="2202" operator="containsText" text="Large">
      <formula>NOT(ISERROR(SEARCH("Large",X49)))</formula>
    </cfRule>
  </conditionalFormatting>
  <conditionalFormatting sqref="X49">
    <cfRule type="containsText" dxfId="1332" priority="2197" operator="containsText" text="Small">
      <formula>NOT(ISERROR(SEARCH("Small",X49)))</formula>
    </cfRule>
    <cfRule type="containsText" dxfId="1331" priority="2198" operator="containsText" text="Mid">
      <formula>NOT(ISERROR(SEARCH("Mid",X49)))</formula>
    </cfRule>
    <cfRule type="containsText" dxfId="1330" priority="2199" operator="containsText" text="Large">
      <formula>NOT(ISERROR(SEARCH("Large",X49)))</formula>
    </cfRule>
  </conditionalFormatting>
  <conditionalFormatting sqref="X49">
    <cfRule type="containsText" dxfId="1329" priority="2194" operator="containsText" text="Small">
      <formula>NOT(ISERROR(SEARCH("Small",X49)))</formula>
    </cfRule>
    <cfRule type="containsText" dxfId="1328" priority="2195" operator="containsText" text="Mid">
      <formula>NOT(ISERROR(SEARCH("Mid",X49)))</formula>
    </cfRule>
    <cfRule type="containsText" dxfId="1327" priority="2196" operator="containsText" text="Large">
      <formula>NOT(ISERROR(SEARCH("Large",X49)))</formula>
    </cfRule>
  </conditionalFormatting>
  <conditionalFormatting sqref="X49">
    <cfRule type="containsText" dxfId="1326" priority="2191" operator="containsText" text="Small">
      <formula>NOT(ISERROR(SEARCH("Small",X49)))</formula>
    </cfRule>
    <cfRule type="containsText" dxfId="1325" priority="2192" operator="containsText" text="Mid">
      <formula>NOT(ISERROR(SEARCH("Mid",X49)))</formula>
    </cfRule>
    <cfRule type="containsText" dxfId="1324" priority="2193" operator="containsText" text="Large">
      <formula>NOT(ISERROR(SEARCH("Large",X49)))</formula>
    </cfRule>
  </conditionalFormatting>
  <conditionalFormatting sqref="X49">
    <cfRule type="containsText" dxfId="1323" priority="2188" operator="containsText" text="Small">
      <formula>NOT(ISERROR(SEARCH("Small",X49)))</formula>
    </cfRule>
    <cfRule type="containsText" dxfId="1322" priority="2189" operator="containsText" text="Mid">
      <formula>NOT(ISERROR(SEARCH("Mid",X49)))</formula>
    </cfRule>
    <cfRule type="containsText" dxfId="1321" priority="2190" operator="containsText" text="Large">
      <formula>NOT(ISERROR(SEARCH("Large",X49)))</formula>
    </cfRule>
  </conditionalFormatting>
  <conditionalFormatting sqref="X49">
    <cfRule type="containsText" dxfId="1320" priority="2185" operator="containsText" text="Small">
      <formula>NOT(ISERROR(SEARCH("Small",X49)))</formula>
    </cfRule>
    <cfRule type="containsText" dxfId="1319" priority="2186" operator="containsText" text="Mid">
      <formula>NOT(ISERROR(SEARCH("Mid",X49)))</formula>
    </cfRule>
    <cfRule type="containsText" dxfId="1318" priority="2187" operator="containsText" text="Large">
      <formula>NOT(ISERROR(SEARCH("Large",X49)))</formula>
    </cfRule>
  </conditionalFormatting>
  <conditionalFormatting sqref="X49">
    <cfRule type="containsText" dxfId="1317" priority="2182" operator="containsText" text="Small">
      <formula>NOT(ISERROR(SEARCH("Small",X49)))</formula>
    </cfRule>
    <cfRule type="containsText" dxfId="1316" priority="2183" operator="containsText" text="Mid">
      <formula>NOT(ISERROR(SEARCH("Mid",X49)))</formula>
    </cfRule>
    <cfRule type="containsText" dxfId="1315" priority="2184" operator="containsText" text="Large">
      <formula>NOT(ISERROR(SEARCH("Large",X49)))</formula>
    </cfRule>
  </conditionalFormatting>
  <conditionalFormatting sqref="X49">
    <cfRule type="containsText" dxfId="1314" priority="2179" operator="containsText" text="Small">
      <formula>NOT(ISERROR(SEARCH("Small",X49)))</formula>
    </cfRule>
    <cfRule type="containsText" dxfId="1313" priority="2180" operator="containsText" text="Mid">
      <formula>NOT(ISERROR(SEARCH("Mid",X49)))</formula>
    </cfRule>
    <cfRule type="containsText" dxfId="1312" priority="2181" operator="containsText" text="Large">
      <formula>NOT(ISERROR(SEARCH("Large",X49)))</formula>
    </cfRule>
  </conditionalFormatting>
  <conditionalFormatting sqref="X49">
    <cfRule type="containsText" dxfId="1311" priority="2176" operator="containsText" text="Small">
      <formula>NOT(ISERROR(SEARCH("Small",X49)))</formula>
    </cfRule>
    <cfRule type="containsText" dxfId="1310" priority="2177" operator="containsText" text="Mid">
      <formula>NOT(ISERROR(SEARCH("Mid",X49)))</formula>
    </cfRule>
    <cfRule type="containsText" dxfId="1309" priority="2178" operator="containsText" text="Large">
      <formula>NOT(ISERROR(SEARCH("Large",X49)))</formula>
    </cfRule>
  </conditionalFormatting>
  <conditionalFormatting sqref="X49">
    <cfRule type="containsText" dxfId="1308" priority="2173" operator="containsText" text="Small">
      <formula>NOT(ISERROR(SEARCH("Small",X49)))</formula>
    </cfRule>
    <cfRule type="containsText" dxfId="1307" priority="2174" operator="containsText" text="Mid">
      <formula>NOT(ISERROR(SEARCH("Mid",X49)))</formula>
    </cfRule>
    <cfRule type="containsText" dxfId="1306" priority="2175" operator="containsText" text="Large">
      <formula>NOT(ISERROR(SEARCH("Large",X49)))</formula>
    </cfRule>
  </conditionalFormatting>
  <conditionalFormatting sqref="X49">
    <cfRule type="containsText" dxfId="1305" priority="2170" operator="containsText" text="Small">
      <formula>NOT(ISERROR(SEARCH("Small",X49)))</formula>
    </cfRule>
    <cfRule type="containsText" dxfId="1304" priority="2171" operator="containsText" text="Mid">
      <formula>NOT(ISERROR(SEARCH("Mid",X49)))</formula>
    </cfRule>
    <cfRule type="containsText" dxfId="1303" priority="2172" operator="containsText" text="Large">
      <formula>NOT(ISERROR(SEARCH("Large",X49)))</formula>
    </cfRule>
  </conditionalFormatting>
  <conditionalFormatting sqref="X49">
    <cfRule type="containsText" dxfId="1302" priority="2167" operator="containsText" text="Small">
      <formula>NOT(ISERROR(SEARCH("Small",X49)))</formula>
    </cfRule>
    <cfRule type="containsText" dxfId="1301" priority="2168" operator="containsText" text="Mid">
      <formula>NOT(ISERROR(SEARCH("Mid",X49)))</formula>
    </cfRule>
    <cfRule type="containsText" dxfId="1300" priority="2169" operator="containsText" text="Large">
      <formula>NOT(ISERROR(SEARCH("Large",X49)))</formula>
    </cfRule>
  </conditionalFormatting>
  <conditionalFormatting sqref="X49">
    <cfRule type="containsText" dxfId="1299" priority="2164" operator="containsText" text="Small">
      <formula>NOT(ISERROR(SEARCH("Small",X49)))</formula>
    </cfRule>
    <cfRule type="containsText" dxfId="1298" priority="2165" operator="containsText" text="Mid">
      <formula>NOT(ISERROR(SEARCH("Mid",X49)))</formula>
    </cfRule>
    <cfRule type="containsText" dxfId="1297" priority="2166" operator="containsText" text="Large">
      <formula>NOT(ISERROR(SEARCH("Large",X49)))</formula>
    </cfRule>
  </conditionalFormatting>
  <conditionalFormatting sqref="X49">
    <cfRule type="containsText" dxfId="1296" priority="2161" operator="containsText" text="Small">
      <formula>NOT(ISERROR(SEARCH("Small",X49)))</formula>
    </cfRule>
    <cfRule type="containsText" dxfId="1295" priority="2162" operator="containsText" text="Mid">
      <formula>NOT(ISERROR(SEARCH("Mid",X49)))</formula>
    </cfRule>
    <cfRule type="containsText" dxfId="1294" priority="2163" operator="containsText" text="Large">
      <formula>NOT(ISERROR(SEARCH("Large",X49)))</formula>
    </cfRule>
  </conditionalFormatting>
  <conditionalFormatting sqref="X49">
    <cfRule type="containsText" dxfId="1293" priority="2158" operator="containsText" text="Small">
      <formula>NOT(ISERROR(SEARCH("Small",X49)))</formula>
    </cfRule>
    <cfRule type="containsText" dxfId="1292" priority="2159" operator="containsText" text="Mid">
      <formula>NOT(ISERROR(SEARCH("Mid",X49)))</formula>
    </cfRule>
    <cfRule type="containsText" dxfId="1291" priority="2160" operator="containsText" text="Large">
      <formula>NOT(ISERROR(SEARCH("Large",X49)))</formula>
    </cfRule>
  </conditionalFormatting>
  <conditionalFormatting sqref="X49">
    <cfRule type="containsText" dxfId="1290" priority="2155" operator="containsText" text="Small">
      <formula>NOT(ISERROR(SEARCH("Small",X49)))</formula>
    </cfRule>
    <cfRule type="containsText" dxfId="1289" priority="2156" operator="containsText" text="Mid">
      <formula>NOT(ISERROR(SEARCH("Mid",X49)))</formula>
    </cfRule>
    <cfRule type="containsText" dxfId="1288" priority="2157" operator="containsText" text="Large">
      <formula>NOT(ISERROR(SEARCH("Large",X49)))</formula>
    </cfRule>
  </conditionalFormatting>
  <conditionalFormatting sqref="X49">
    <cfRule type="containsText" dxfId="1287" priority="2152" operator="containsText" text="Small">
      <formula>NOT(ISERROR(SEARCH("Small",X49)))</formula>
    </cfRule>
    <cfRule type="containsText" dxfId="1286" priority="2153" operator="containsText" text="Mid">
      <formula>NOT(ISERROR(SEARCH("Mid",X49)))</formula>
    </cfRule>
    <cfRule type="containsText" dxfId="1285" priority="2154" operator="containsText" text="Large">
      <formula>NOT(ISERROR(SEARCH("Large",X49)))</formula>
    </cfRule>
  </conditionalFormatting>
  <conditionalFormatting sqref="X49">
    <cfRule type="containsText" dxfId="1284" priority="2149" operator="containsText" text="Small">
      <formula>NOT(ISERROR(SEARCH("Small",X49)))</formula>
    </cfRule>
    <cfRule type="containsText" dxfId="1283" priority="2150" operator="containsText" text="Mid">
      <formula>NOT(ISERROR(SEARCH("Mid",X49)))</formula>
    </cfRule>
    <cfRule type="containsText" dxfId="1282" priority="2151" operator="containsText" text="Large">
      <formula>NOT(ISERROR(SEARCH("Large",X49)))</formula>
    </cfRule>
  </conditionalFormatting>
  <conditionalFormatting sqref="X49">
    <cfRule type="containsText" dxfId="1281" priority="2146" operator="containsText" text="Small">
      <formula>NOT(ISERROR(SEARCH("Small",X49)))</formula>
    </cfRule>
    <cfRule type="containsText" dxfId="1280" priority="2147" operator="containsText" text="Mid">
      <formula>NOT(ISERROR(SEARCH("Mid",X49)))</formula>
    </cfRule>
    <cfRule type="containsText" dxfId="1279" priority="2148" operator="containsText" text="Large">
      <formula>NOT(ISERROR(SEARCH("Large",X49)))</formula>
    </cfRule>
  </conditionalFormatting>
  <conditionalFormatting sqref="X49">
    <cfRule type="containsText" dxfId="1278" priority="2143" operator="containsText" text="Small">
      <formula>NOT(ISERROR(SEARCH("Small",X49)))</formula>
    </cfRule>
    <cfRule type="containsText" dxfId="1277" priority="2144" operator="containsText" text="Mid">
      <formula>NOT(ISERROR(SEARCH("Mid",X49)))</formula>
    </cfRule>
    <cfRule type="containsText" dxfId="1276" priority="2145" operator="containsText" text="Large">
      <formula>NOT(ISERROR(SEARCH("Large",X49)))</formula>
    </cfRule>
  </conditionalFormatting>
  <conditionalFormatting sqref="X49">
    <cfRule type="containsText" dxfId="1275" priority="2140" operator="containsText" text="Small">
      <formula>NOT(ISERROR(SEARCH("Small",X49)))</formula>
    </cfRule>
    <cfRule type="containsText" dxfId="1274" priority="2141" operator="containsText" text="Mid">
      <formula>NOT(ISERROR(SEARCH("Mid",X49)))</formula>
    </cfRule>
    <cfRule type="containsText" dxfId="1273" priority="2142" operator="containsText" text="Large">
      <formula>NOT(ISERROR(SEARCH("Large",X49)))</formula>
    </cfRule>
  </conditionalFormatting>
  <conditionalFormatting sqref="X49">
    <cfRule type="containsText" dxfId="1272" priority="2137" operator="containsText" text="Small">
      <formula>NOT(ISERROR(SEARCH("Small",X49)))</formula>
    </cfRule>
    <cfRule type="containsText" dxfId="1271" priority="2138" operator="containsText" text="Mid">
      <formula>NOT(ISERROR(SEARCH("Mid",X49)))</formula>
    </cfRule>
    <cfRule type="containsText" dxfId="1270" priority="2139" operator="containsText" text="Large">
      <formula>NOT(ISERROR(SEARCH("Large",X49)))</formula>
    </cfRule>
  </conditionalFormatting>
  <conditionalFormatting sqref="X49">
    <cfRule type="containsText" dxfId="1269" priority="2134" operator="containsText" text="Small">
      <formula>NOT(ISERROR(SEARCH("Small",X49)))</formula>
    </cfRule>
    <cfRule type="containsText" dxfId="1268" priority="2135" operator="containsText" text="Mid">
      <formula>NOT(ISERROR(SEARCH("Mid",X49)))</formula>
    </cfRule>
    <cfRule type="containsText" dxfId="1267" priority="2136" operator="containsText" text="Large">
      <formula>NOT(ISERROR(SEARCH("Large",X49)))</formula>
    </cfRule>
  </conditionalFormatting>
  <conditionalFormatting sqref="X49">
    <cfRule type="containsText" dxfId="1266" priority="2131" operator="containsText" text="Small">
      <formula>NOT(ISERROR(SEARCH("Small",X49)))</formula>
    </cfRule>
    <cfRule type="containsText" dxfId="1265" priority="2132" operator="containsText" text="Mid">
      <formula>NOT(ISERROR(SEARCH("Mid",X49)))</formula>
    </cfRule>
    <cfRule type="containsText" dxfId="1264" priority="2133" operator="containsText" text="Large">
      <formula>NOT(ISERROR(SEARCH("Large",X49)))</formula>
    </cfRule>
  </conditionalFormatting>
  <conditionalFormatting sqref="X49">
    <cfRule type="containsText" dxfId="1263" priority="2128" operator="containsText" text="Small">
      <formula>NOT(ISERROR(SEARCH("Small",X49)))</formula>
    </cfRule>
    <cfRule type="containsText" dxfId="1262" priority="2129" operator="containsText" text="Mid">
      <formula>NOT(ISERROR(SEARCH("Mid",X49)))</formula>
    </cfRule>
    <cfRule type="containsText" dxfId="1261" priority="2130" operator="containsText" text="Large">
      <formula>NOT(ISERROR(SEARCH("Large",X49)))</formula>
    </cfRule>
  </conditionalFormatting>
  <conditionalFormatting sqref="X49">
    <cfRule type="containsText" dxfId="1260" priority="2125" operator="containsText" text="Small">
      <formula>NOT(ISERROR(SEARCH("Small",X49)))</formula>
    </cfRule>
    <cfRule type="containsText" dxfId="1259" priority="2126" operator="containsText" text="Mid">
      <formula>NOT(ISERROR(SEARCH("Mid",X49)))</formula>
    </cfRule>
    <cfRule type="containsText" dxfId="1258" priority="2127" operator="containsText" text="Large">
      <formula>NOT(ISERROR(SEARCH("Large",X49)))</formula>
    </cfRule>
  </conditionalFormatting>
  <conditionalFormatting sqref="X49">
    <cfRule type="containsText" dxfId="1257" priority="2122" operator="containsText" text="Small">
      <formula>NOT(ISERROR(SEARCH("Small",X49)))</formula>
    </cfRule>
    <cfRule type="containsText" dxfId="1256" priority="2123" operator="containsText" text="Mid">
      <formula>NOT(ISERROR(SEARCH("Mid",X49)))</formula>
    </cfRule>
    <cfRule type="containsText" dxfId="1255" priority="2124" operator="containsText" text="Large">
      <formula>NOT(ISERROR(SEARCH("Large",X49)))</formula>
    </cfRule>
  </conditionalFormatting>
  <conditionalFormatting sqref="X49">
    <cfRule type="containsText" dxfId="1254" priority="2119" operator="containsText" text="Small">
      <formula>NOT(ISERROR(SEARCH("Small",X49)))</formula>
    </cfRule>
    <cfRule type="containsText" dxfId="1253" priority="2120" operator="containsText" text="Mid">
      <formula>NOT(ISERROR(SEARCH("Mid",X49)))</formula>
    </cfRule>
    <cfRule type="containsText" dxfId="1252" priority="2121" operator="containsText" text="Large">
      <formula>NOT(ISERROR(SEARCH("Large",X49)))</formula>
    </cfRule>
  </conditionalFormatting>
  <conditionalFormatting sqref="X49">
    <cfRule type="containsText" dxfId="1251" priority="2116" operator="containsText" text="Small">
      <formula>NOT(ISERROR(SEARCH("Small",X49)))</formula>
    </cfRule>
    <cfRule type="containsText" dxfId="1250" priority="2117" operator="containsText" text="Mid">
      <formula>NOT(ISERROR(SEARCH("Mid",X49)))</formula>
    </cfRule>
    <cfRule type="containsText" dxfId="1249" priority="2118" operator="containsText" text="Large">
      <formula>NOT(ISERROR(SEARCH("Large",X49)))</formula>
    </cfRule>
  </conditionalFormatting>
  <conditionalFormatting sqref="X49">
    <cfRule type="containsText" dxfId="1248" priority="2113" operator="containsText" text="Small">
      <formula>NOT(ISERROR(SEARCH("Small",X49)))</formula>
    </cfRule>
    <cfRule type="containsText" dxfId="1247" priority="2114" operator="containsText" text="Mid">
      <formula>NOT(ISERROR(SEARCH("Mid",X49)))</formula>
    </cfRule>
    <cfRule type="containsText" dxfId="1246" priority="2115" operator="containsText" text="Large">
      <formula>NOT(ISERROR(SEARCH("Large",X49)))</formula>
    </cfRule>
  </conditionalFormatting>
  <conditionalFormatting sqref="X49">
    <cfRule type="containsText" dxfId="1245" priority="2110" operator="containsText" text="Small">
      <formula>NOT(ISERROR(SEARCH("Small",X49)))</formula>
    </cfRule>
    <cfRule type="containsText" dxfId="1244" priority="2111" operator="containsText" text="Mid">
      <formula>NOT(ISERROR(SEARCH("Mid",X49)))</formula>
    </cfRule>
    <cfRule type="containsText" dxfId="1243" priority="2112" operator="containsText" text="Large">
      <formula>NOT(ISERROR(SEARCH("Large",X49)))</formula>
    </cfRule>
  </conditionalFormatting>
  <conditionalFormatting sqref="X49">
    <cfRule type="containsText" dxfId="1242" priority="2107" operator="containsText" text="Small">
      <formula>NOT(ISERROR(SEARCH("Small",X49)))</formula>
    </cfRule>
    <cfRule type="containsText" dxfId="1241" priority="2108" operator="containsText" text="Mid">
      <formula>NOT(ISERROR(SEARCH("Mid",X49)))</formula>
    </cfRule>
    <cfRule type="containsText" dxfId="1240" priority="2109" operator="containsText" text="Large">
      <formula>NOT(ISERROR(SEARCH("Large",X49)))</formula>
    </cfRule>
  </conditionalFormatting>
  <conditionalFormatting sqref="X49">
    <cfRule type="containsText" dxfId="1239" priority="2104" operator="containsText" text="Small">
      <formula>NOT(ISERROR(SEARCH("Small",X49)))</formula>
    </cfRule>
    <cfRule type="containsText" dxfId="1238" priority="2105" operator="containsText" text="Mid">
      <formula>NOT(ISERROR(SEARCH("Mid",X49)))</formula>
    </cfRule>
    <cfRule type="containsText" dxfId="1237" priority="2106" operator="containsText" text="Large">
      <formula>NOT(ISERROR(SEARCH("Large",X49)))</formula>
    </cfRule>
  </conditionalFormatting>
  <conditionalFormatting sqref="X49">
    <cfRule type="containsText" dxfId="1236" priority="2101" operator="containsText" text="Small">
      <formula>NOT(ISERROR(SEARCH("Small",X49)))</formula>
    </cfRule>
    <cfRule type="containsText" dxfId="1235" priority="2102" operator="containsText" text="Mid">
      <formula>NOT(ISERROR(SEARCH("Mid",X49)))</formula>
    </cfRule>
    <cfRule type="containsText" dxfId="1234" priority="2103" operator="containsText" text="Large">
      <formula>NOT(ISERROR(SEARCH("Large",X49)))</formula>
    </cfRule>
  </conditionalFormatting>
  <conditionalFormatting sqref="X49">
    <cfRule type="containsText" dxfId="1233" priority="2098" operator="containsText" text="Small">
      <formula>NOT(ISERROR(SEARCH("Small",X49)))</formula>
    </cfRule>
    <cfRule type="containsText" dxfId="1232" priority="2099" operator="containsText" text="Mid">
      <formula>NOT(ISERROR(SEARCH("Mid",X49)))</formula>
    </cfRule>
    <cfRule type="containsText" dxfId="1231" priority="2100" operator="containsText" text="Large">
      <formula>NOT(ISERROR(SEARCH("Large",X49)))</formula>
    </cfRule>
  </conditionalFormatting>
  <conditionalFormatting sqref="M73:M81">
    <cfRule type="cellIs" dxfId="1230" priority="1599" operator="lessThan">
      <formula>0</formula>
    </cfRule>
  </conditionalFormatting>
  <conditionalFormatting sqref="M73:M81">
    <cfRule type="cellIs" dxfId="1229" priority="1598" operator="greaterThan">
      <formula>0</formula>
    </cfRule>
  </conditionalFormatting>
  <conditionalFormatting sqref="M73:M81">
    <cfRule type="cellIs" dxfId="1228" priority="1597" operator="greaterThan">
      <formula>0</formula>
    </cfRule>
  </conditionalFormatting>
  <conditionalFormatting sqref="X63">
    <cfRule type="containsText" dxfId="1227" priority="1596" operator="containsText" text="NA">
      <formula>NOT(ISERROR(SEARCH("NA",X63)))</formula>
    </cfRule>
  </conditionalFormatting>
  <conditionalFormatting sqref="AA65 AA58:AA62">
    <cfRule type="cellIs" dxfId="1226" priority="1595" operator="lessThan">
      <formula>0</formula>
    </cfRule>
  </conditionalFormatting>
  <conditionalFormatting sqref="AA65 AA58:AA62">
    <cfRule type="cellIs" dxfId="1225" priority="1594" operator="greaterThan">
      <formula>0</formula>
    </cfRule>
  </conditionalFormatting>
  <conditionalFormatting sqref="AA65 AA58:AA62">
    <cfRule type="cellIs" dxfId="1224" priority="1593" operator="greaterThan">
      <formula>0</formula>
    </cfRule>
  </conditionalFormatting>
  <conditionalFormatting sqref="X64">
    <cfRule type="cellIs" dxfId="1223" priority="1592" operator="equal">
      <formula>"""Large"""</formula>
    </cfRule>
  </conditionalFormatting>
  <conditionalFormatting sqref="X63">
    <cfRule type="containsText" dxfId="1222" priority="1591" operator="containsText" text="No Cap">
      <formula>NOT(ISERROR(SEARCH("No Cap",X63)))</formula>
    </cfRule>
  </conditionalFormatting>
  <conditionalFormatting sqref="X63">
    <cfRule type="containsText" dxfId="1221" priority="1590" operator="containsText" text="No Cap">
      <formula>NOT(ISERROR(SEARCH("No Cap",X63)))</formula>
    </cfRule>
  </conditionalFormatting>
  <conditionalFormatting sqref="X63">
    <cfRule type="containsText" dxfId="1220" priority="1587" operator="containsText" text="Small">
      <formula>NOT(ISERROR(SEARCH("Small",X63)))</formula>
    </cfRule>
    <cfRule type="containsText" dxfId="1219" priority="1588" operator="containsText" text="Mid">
      <formula>NOT(ISERROR(SEARCH("Mid",X63)))</formula>
    </cfRule>
    <cfRule type="containsText" dxfId="1218" priority="1589" operator="containsText" text="Large">
      <formula>NOT(ISERROR(SEARCH("Large",X63)))</formula>
    </cfRule>
  </conditionalFormatting>
  <conditionalFormatting sqref="X63">
    <cfRule type="containsText" dxfId="1217" priority="1584" operator="containsText" text="Small">
      <formula>NOT(ISERROR(SEARCH("Small",X63)))</formula>
    </cfRule>
    <cfRule type="containsText" dxfId="1216" priority="1585" operator="containsText" text="Mid">
      <formula>NOT(ISERROR(SEARCH("Mid",X63)))</formula>
    </cfRule>
    <cfRule type="containsText" dxfId="1215" priority="1586" operator="containsText" text="Large">
      <formula>NOT(ISERROR(SEARCH("Large",X63)))</formula>
    </cfRule>
  </conditionalFormatting>
  <conditionalFormatting sqref="X63">
    <cfRule type="containsText" dxfId="1214" priority="1581" operator="containsText" text="Small">
      <formula>NOT(ISERROR(SEARCH("Small",X63)))</formula>
    </cfRule>
    <cfRule type="containsText" dxfId="1213" priority="1582" operator="containsText" text="Mid">
      <formula>NOT(ISERROR(SEARCH("Mid",X63)))</formula>
    </cfRule>
    <cfRule type="containsText" dxfId="1212" priority="1583" operator="containsText" text="Large">
      <formula>NOT(ISERROR(SEARCH("Large",X63)))</formula>
    </cfRule>
  </conditionalFormatting>
  <conditionalFormatting sqref="X63">
    <cfRule type="containsText" dxfId="1211" priority="1580" operator="containsText" text="NA">
      <formula>NOT(ISERROR(SEARCH("NA",X63)))</formula>
    </cfRule>
  </conditionalFormatting>
  <conditionalFormatting sqref="X63">
    <cfRule type="containsText" dxfId="1210" priority="1577" operator="containsText" text="Small">
      <formula>NOT(ISERROR(SEARCH("Small",X63)))</formula>
    </cfRule>
    <cfRule type="containsText" dxfId="1209" priority="1578" operator="containsText" text="Mid">
      <formula>NOT(ISERROR(SEARCH("Mid",X63)))</formula>
    </cfRule>
    <cfRule type="containsText" dxfId="1208" priority="1579" operator="containsText" text="Large">
      <formula>NOT(ISERROR(SEARCH("Large",X63)))</formula>
    </cfRule>
  </conditionalFormatting>
  <conditionalFormatting sqref="X63">
    <cfRule type="containsText" dxfId="1207" priority="1574" operator="containsText" text="Small">
      <formula>NOT(ISERROR(SEARCH("Small",X63)))</formula>
    </cfRule>
    <cfRule type="containsText" dxfId="1206" priority="1575" operator="containsText" text="Mid">
      <formula>NOT(ISERROR(SEARCH("Mid",X63)))</formula>
    </cfRule>
    <cfRule type="containsText" dxfId="1205" priority="1576" operator="containsText" text="Large">
      <formula>NOT(ISERROR(SEARCH("Large",X63)))</formula>
    </cfRule>
  </conditionalFormatting>
  <conditionalFormatting sqref="X63">
    <cfRule type="containsText" dxfId="1204" priority="1571" operator="containsText" text="Small">
      <formula>NOT(ISERROR(SEARCH("Small",X63)))</formula>
    </cfRule>
    <cfRule type="containsText" dxfId="1203" priority="1572" operator="containsText" text="Mid">
      <formula>NOT(ISERROR(SEARCH("Mid",X63)))</formula>
    </cfRule>
    <cfRule type="containsText" dxfId="1202" priority="1573" operator="containsText" text="Large">
      <formula>NOT(ISERROR(SEARCH("Large",X63)))</formula>
    </cfRule>
  </conditionalFormatting>
  <conditionalFormatting sqref="X63">
    <cfRule type="containsText" dxfId="1201" priority="1568" operator="containsText" text="Small">
      <formula>NOT(ISERROR(SEARCH("Small",X63)))</formula>
    </cfRule>
    <cfRule type="containsText" dxfId="1200" priority="1569" operator="containsText" text="Mid">
      <formula>NOT(ISERROR(SEARCH("Mid",X63)))</formula>
    </cfRule>
    <cfRule type="containsText" dxfId="1199" priority="1570" operator="containsText" text="Large">
      <formula>NOT(ISERROR(SEARCH("Large",X63)))</formula>
    </cfRule>
  </conditionalFormatting>
  <conditionalFormatting sqref="X63">
    <cfRule type="containsText" dxfId="1198" priority="1565" operator="containsText" text="Small">
      <formula>NOT(ISERROR(SEARCH("Small",X63)))</formula>
    </cfRule>
    <cfRule type="containsText" dxfId="1197" priority="1566" operator="containsText" text="Mid">
      <formula>NOT(ISERROR(SEARCH("Mid",X63)))</formula>
    </cfRule>
    <cfRule type="containsText" dxfId="1196" priority="1567" operator="containsText" text="Large">
      <formula>NOT(ISERROR(SEARCH("Large",X63)))</formula>
    </cfRule>
  </conditionalFormatting>
  <conditionalFormatting sqref="X63">
    <cfRule type="containsText" dxfId="1195" priority="1562" operator="containsText" text="Small">
      <formula>NOT(ISERROR(SEARCH("Small",X63)))</formula>
    </cfRule>
    <cfRule type="containsText" dxfId="1194" priority="1563" operator="containsText" text="Mid">
      <formula>NOT(ISERROR(SEARCH("Mid",X63)))</formula>
    </cfRule>
    <cfRule type="containsText" dxfId="1193" priority="1564" operator="containsText" text="Large">
      <formula>NOT(ISERROR(SEARCH("Large",X63)))</formula>
    </cfRule>
  </conditionalFormatting>
  <conditionalFormatting sqref="X63">
    <cfRule type="containsText" dxfId="1192" priority="1559" operator="containsText" text="Small">
      <formula>NOT(ISERROR(SEARCH("Small",X63)))</formula>
    </cfRule>
    <cfRule type="containsText" dxfId="1191" priority="1560" operator="containsText" text="Mid">
      <formula>NOT(ISERROR(SEARCH("Mid",X63)))</formula>
    </cfRule>
    <cfRule type="containsText" dxfId="1190" priority="1561" operator="containsText" text="Large">
      <formula>NOT(ISERROR(SEARCH("Large",X63)))</formula>
    </cfRule>
  </conditionalFormatting>
  <conditionalFormatting sqref="X63">
    <cfRule type="containsText" dxfId="1189" priority="1556" operator="containsText" text="Small">
      <formula>NOT(ISERROR(SEARCH("Small",X63)))</formula>
    </cfRule>
    <cfRule type="containsText" dxfId="1188" priority="1557" operator="containsText" text="Mid">
      <formula>NOT(ISERROR(SEARCH("Mid",X63)))</formula>
    </cfRule>
    <cfRule type="containsText" dxfId="1187" priority="1558" operator="containsText" text="Large">
      <formula>NOT(ISERROR(SEARCH("Large",X63)))</formula>
    </cfRule>
  </conditionalFormatting>
  <conditionalFormatting sqref="X63">
    <cfRule type="containsText" dxfId="1186" priority="1553" operator="containsText" text="Small">
      <formula>NOT(ISERROR(SEARCH("Small",X63)))</formula>
    </cfRule>
    <cfRule type="containsText" dxfId="1185" priority="1554" operator="containsText" text="Mid">
      <formula>NOT(ISERROR(SEARCH("Mid",X63)))</formula>
    </cfRule>
    <cfRule type="containsText" dxfId="1184" priority="1555" operator="containsText" text="Large">
      <formula>NOT(ISERROR(SEARCH("Large",X63)))</formula>
    </cfRule>
  </conditionalFormatting>
  <conditionalFormatting sqref="X63">
    <cfRule type="containsText" dxfId="1183" priority="1550" operator="containsText" text="Small">
      <formula>NOT(ISERROR(SEARCH("Small",X63)))</formula>
    </cfRule>
    <cfRule type="containsText" dxfId="1182" priority="1551" operator="containsText" text="Mid">
      <formula>NOT(ISERROR(SEARCH("Mid",X63)))</formula>
    </cfRule>
    <cfRule type="containsText" dxfId="1181" priority="1552" operator="containsText" text="Large">
      <formula>NOT(ISERROR(SEARCH("Large",X63)))</formula>
    </cfRule>
  </conditionalFormatting>
  <conditionalFormatting sqref="X63">
    <cfRule type="containsText" dxfId="1180" priority="1547" operator="containsText" text="Small">
      <formula>NOT(ISERROR(SEARCH("Small",X63)))</formula>
    </cfRule>
    <cfRule type="containsText" dxfId="1179" priority="1548" operator="containsText" text="Mid">
      <formula>NOT(ISERROR(SEARCH("Mid",X63)))</formula>
    </cfRule>
    <cfRule type="containsText" dxfId="1178" priority="1549" operator="containsText" text="Large">
      <formula>NOT(ISERROR(SEARCH("Large",X63)))</formula>
    </cfRule>
  </conditionalFormatting>
  <conditionalFormatting sqref="X63">
    <cfRule type="containsText" dxfId="1177" priority="1544" operator="containsText" text="Small">
      <formula>NOT(ISERROR(SEARCH("Small",X63)))</formula>
    </cfRule>
    <cfRule type="containsText" dxfId="1176" priority="1545" operator="containsText" text="Mid">
      <formula>NOT(ISERROR(SEARCH("Mid",X63)))</formula>
    </cfRule>
    <cfRule type="containsText" dxfId="1175" priority="1546" operator="containsText" text="Large">
      <formula>NOT(ISERROR(SEARCH("Large",X63)))</formula>
    </cfRule>
  </conditionalFormatting>
  <conditionalFormatting sqref="X63">
    <cfRule type="containsText" dxfId="1174" priority="1541" operator="containsText" text="Small">
      <formula>NOT(ISERROR(SEARCH("Small",X63)))</formula>
    </cfRule>
    <cfRule type="containsText" dxfId="1173" priority="1542" operator="containsText" text="Mid">
      <formula>NOT(ISERROR(SEARCH("Mid",X63)))</formula>
    </cfRule>
    <cfRule type="containsText" dxfId="1172" priority="1543" operator="containsText" text="Large">
      <formula>NOT(ISERROR(SEARCH("Large",X63)))</formula>
    </cfRule>
  </conditionalFormatting>
  <conditionalFormatting sqref="X63">
    <cfRule type="containsText" dxfId="1171" priority="1538" operator="containsText" text="Small">
      <formula>NOT(ISERROR(SEARCH("Small",X63)))</formula>
    </cfRule>
    <cfRule type="containsText" dxfId="1170" priority="1539" operator="containsText" text="Mid">
      <formula>NOT(ISERROR(SEARCH("Mid",X63)))</formula>
    </cfRule>
    <cfRule type="containsText" dxfId="1169" priority="1540" operator="containsText" text="Large">
      <formula>NOT(ISERROR(SEARCH("Large",X63)))</formula>
    </cfRule>
  </conditionalFormatting>
  <conditionalFormatting sqref="X63">
    <cfRule type="containsText" dxfId="1168" priority="1535" operator="containsText" text="Small">
      <formula>NOT(ISERROR(SEARCH("Small",X63)))</formula>
    </cfRule>
    <cfRule type="containsText" dxfId="1167" priority="1536" operator="containsText" text="Mid">
      <formula>NOT(ISERROR(SEARCH("Mid",X63)))</formula>
    </cfRule>
    <cfRule type="containsText" dxfId="1166" priority="1537" operator="containsText" text="Large">
      <formula>NOT(ISERROR(SEARCH("Large",X63)))</formula>
    </cfRule>
  </conditionalFormatting>
  <conditionalFormatting sqref="X63">
    <cfRule type="containsText" dxfId="1165" priority="1532" operator="containsText" text="Small">
      <formula>NOT(ISERROR(SEARCH("Small",X63)))</formula>
    </cfRule>
    <cfRule type="containsText" dxfId="1164" priority="1533" operator="containsText" text="Mid">
      <formula>NOT(ISERROR(SEARCH("Mid",X63)))</formula>
    </cfRule>
    <cfRule type="containsText" dxfId="1163" priority="1534" operator="containsText" text="Large">
      <formula>NOT(ISERROR(SEARCH("Large",X63)))</formula>
    </cfRule>
  </conditionalFormatting>
  <conditionalFormatting sqref="X63">
    <cfRule type="containsText" dxfId="1162" priority="1529" operator="containsText" text="Small">
      <formula>NOT(ISERROR(SEARCH("Small",X63)))</formula>
    </cfRule>
    <cfRule type="containsText" dxfId="1161" priority="1530" operator="containsText" text="Mid">
      <formula>NOT(ISERROR(SEARCH("Mid",X63)))</formula>
    </cfRule>
    <cfRule type="containsText" dxfId="1160" priority="1531" operator="containsText" text="Large">
      <formula>NOT(ISERROR(SEARCH("Large",X63)))</formula>
    </cfRule>
  </conditionalFormatting>
  <conditionalFormatting sqref="X63">
    <cfRule type="containsText" dxfId="1159" priority="1526" operator="containsText" text="Small">
      <formula>NOT(ISERROR(SEARCH("Small",X63)))</formula>
    </cfRule>
    <cfRule type="containsText" dxfId="1158" priority="1527" operator="containsText" text="Mid">
      <formula>NOT(ISERROR(SEARCH("Mid",X63)))</formula>
    </cfRule>
    <cfRule type="containsText" dxfId="1157" priority="1528" operator="containsText" text="Large">
      <formula>NOT(ISERROR(SEARCH("Large",X63)))</formula>
    </cfRule>
  </conditionalFormatting>
  <conditionalFormatting sqref="X63">
    <cfRule type="containsText" dxfId="1156" priority="1523" operator="containsText" text="Small">
      <formula>NOT(ISERROR(SEARCH("Small",X63)))</formula>
    </cfRule>
    <cfRule type="containsText" dxfId="1155" priority="1524" operator="containsText" text="Mid">
      <formula>NOT(ISERROR(SEARCH("Mid",X63)))</formula>
    </cfRule>
    <cfRule type="containsText" dxfId="1154" priority="1525" operator="containsText" text="Large">
      <formula>NOT(ISERROR(SEARCH("Large",X63)))</formula>
    </cfRule>
  </conditionalFormatting>
  <conditionalFormatting sqref="X63">
    <cfRule type="containsText" dxfId="1153" priority="1520" operator="containsText" text="Small">
      <formula>NOT(ISERROR(SEARCH("Small",X63)))</formula>
    </cfRule>
    <cfRule type="containsText" dxfId="1152" priority="1521" operator="containsText" text="Mid">
      <formula>NOT(ISERROR(SEARCH("Mid",X63)))</formula>
    </cfRule>
    <cfRule type="containsText" dxfId="1151" priority="1522" operator="containsText" text="Large">
      <formula>NOT(ISERROR(SEARCH("Large",X63)))</formula>
    </cfRule>
  </conditionalFormatting>
  <conditionalFormatting sqref="X63">
    <cfRule type="containsText" dxfId="1150" priority="1517" operator="containsText" text="Small">
      <formula>NOT(ISERROR(SEARCH("Small",X63)))</formula>
    </cfRule>
    <cfRule type="containsText" dxfId="1149" priority="1518" operator="containsText" text="Mid">
      <formula>NOT(ISERROR(SEARCH("Mid",X63)))</formula>
    </cfRule>
    <cfRule type="containsText" dxfId="1148" priority="1519" operator="containsText" text="Large">
      <formula>NOT(ISERROR(SEARCH("Large",X63)))</formula>
    </cfRule>
  </conditionalFormatting>
  <conditionalFormatting sqref="X63">
    <cfRule type="containsText" dxfId="1147" priority="1514" operator="containsText" text="Small">
      <formula>NOT(ISERROR(SEARCH("Small",X63)))</formula>
    </cfRule>
    <cfRule type="containsText" dxfId="1146" priority="1515" operator="containsText" text="Mid">
      <formula>NOT(ISERROR(SEARCH("Mid",X63)))</formula>
    </cfRule>
    <cfRule type="containsText" dxfId="1145" priority="1516" operator="containsText" text="Large">
      <formula>NOT(ISERROR(SEARCH("Large",X63)))</formula>
    </cfRule>
  </conditionalFormatting>
  <conditionalFormatting sqref="X63">
    <cfRule type="containsText" dxfId="1144" priority="1511" operator="containsText" text="Small">
      <formula>NOT(ISERROR(SEARCH("Small",X63)))</formula>
    </cfRule>
    <cfRule type="containsText" dxfId="1143" priority="1512" operator="containsText" text="Mid">
      <formula>NOT(ISERROR(SEARCH("Mid",X63)))</formula>
    </cfRule>
    <cfRule type="containsText" dxfId="1142" priority="1513" operator="containsText" text="Large">
      <formula>NOT(ISERROR(SEARCH("Large",X63)))</formula>
    </cfRule>
  </conditionalFormatting>
  <conditionalFormatting sqref="X63">
    <cfRule type="containsText" dxfId="1141" priority="1508" operator="containsText" text="Small">
      <formula>NOT(ISERROR(SEARCH("Small",X63)))</formula>
    </cfRule>
    <cfRule type="containsText" dxfId="1140" priority="1509" operator="containsText" text="Mid">
      <formula>NOT(ISERROR(SEARCH("Mid",X63)))</formula>
    </cfRule>
    <cfRule type="containsText" dxfId="1139" priority="1510" operator="containsText" text="Large">
      <formula>NOT(ISERROR(SEARCH("Large",X63)))</formula>
    </cfRule>
  </conditionalFormatting>
  <conditionalFormatting sqref="X63">
    <cfRule type="containsText" dxfId="1138" priority="1505" operator="containsText" text="Small">
      <formula>NOT(ISERROR(SEARCH("Small",X63)))</formula>
    </cfRule>
    <cfRule type="containsText" dxfId="1137" priority="1506" operator="containsText" text="Mid">
      <formula>NOT(ISERROR(SEARCH("Mid",X63)))</formula>
    </cfRule>
    <cfRule type="containsText" dxfId="1136" priority="1507" operator="containsText" text="Large">
      <formula>NOT(ISERROR(SEARCH("Large",X63)))</formula>
    </cfRule>
  </conditionalFormatting>
  <conditionalFormatting sqref="X63">
    <cfRule type="containsText" dxfId="1135" priority="1502" operator="containsText" text="Small">
      <formula>NOT(ISERROR(SEARCH("Small",X63)))</formula>
    </cfRule>
    <cfRule type="containsText" dxfId="1134" priority="1503" operator="containsText" text="Mid">
      <formula>NOT(ISERROR(SEARCH("Mid",X63)))</formula>
    </cfRule>
    <cfRule type="containsText" dxfId="1133" priority="1504" operator="containsText" text="Large">
      <formula>NOT(ISERROR(SEARCH("Large",X63)))</formula>
    </cfRule>
  </conditionalFormatting>
  <conditionalFormatting sqref="X63">
    <cfRule type="containsText" dxfId="1132" priority="1499" operator="containsText" text="Small">
      <formula>NOT(ISERROR(SEARCH("Small",X63)))</formula>
    </cfRule>
    <cfRule type="containsText" dxfId="1131" priority="1500" operator="containsText" text="Mid">
      <formula>NOT(ISERROR(SEARCH("Mid",X63)))</formula>
    </cfRule>
    <cfRule type="containsText" dxfId="1130" priority="1501" operator="containsText" text="Large">
      <formula>NOT(ISERROR(SEARCH("Large",X63)))</formula>
    </cfRule>
  </conditionalFormatting>
  <conditionalFormatting sqref="X63">
    <cfRule type="containsText" dxfId="1129" priority="1496" operator="containsText" text="Small">
      <formula>NOT(ISERROR(SEARCH("Small",X63)))</formula>
    </cfRule>
    <cfRule type="containsText" dxfId="1128" priority="1497" operator="containsText" text="Mid">
      <formula>NOT(ISERROR(SEARCH("Mid",X63)))</formula>
    </cfRule>
    <cfRule type="containsText" dxfId="1127" priority="1498" operator="containsText" text="Large">
      <formula>NOT(ISERROR(SEARCH("Large",X63)))</formula>
    </cfRule>
  </conditionalFormatting>
  <conditionalFormatting sqref="X63">
    <cfRule type="containsText" dxfId="1126" priority="1493" operator="containsText" text="Small">
      <formula>NOT(ISERROR(SEARCH("Small",X63)))</formula>
    </cfRule>
    <cfRule type="containsText" dxfId="1125" priority="1494" operator="containsText" text="Mid">
      <formula>NOT(ISERROR(SEARCH("Mid",X63)))</formula>
    </cfRule>
    <cfRule type="containsText" dxfId="1124" priority="1495" operator="containsText" text="Large">
      <formula>NOT(ISERROR(SEARCH("Large",X63)))</formula>
    </cfRule>
  </conditionalFormatting>
  <conditionalFormatting sqref="X63">
    <cfRule type="containsText" dxfId="1123" priority="1490" operator="containsText" text="Small">
      <formula>NOT(ISERROR(SEARCH("Small",X63)))</formula>
    </cfRule>
    <cfRule type="containsText" dxfId="1122" priority="1491" operator="containsText" text="Mid">
      <formula>NOT(ISERROR(SEARCH("Mid",X63)))</formula>
    </cfRule>
    <cfRule type="containsText" dxfId="1121" priority="1492" operator="containsText" text="Large">
      <formula>NOT(ISERROR(SEARCH("Large",X63)))</formula>
    </cfRule>
  </conditionalFormatting>
  <conditionalFormatting sqref="X63">
    <cfRule type="containsText" dxfId="1120" priority="1487" operator="containsText" text="Small">
      <formula>NOT(ISERROR(SEARCH("Small",X63)))</formula>
    </cfRule>
    <cfRule type="containsText" dxfId="1119" priority="1488" operator="containsText" text="Mid">
      <formula>NOT(ISERROR(SEARCH("Mid",X63)))</formula>
    </cfRule>
    <cfRule type="containsText" dxfId="1118" priority="1489" operator="containsText" text="Large">
      <formula>NOT(ISERROR(SEARCH("Large",X63)))</formula>
    </cfRule>
  </conditionalFormatting>
  <conditionalFormatting sqref="X63">
    <cfRule type="containsText" dxfId="1117" priority="1484" operator="containsText" text="Small">
      <formula>NOT(ISERROR(SEARCH("Small",X63)))</formula>
    </cfRule>
    <cfRule type="containsText" dxfId="1116" priority="1485" operator="containsText" text="Mid">
      <formula>NOT(ISERROR(SEARCH("Mid",X63)))</formula>
    </cfRule>
    <cfRule type="containsText" dxfId="1115" priority="1486" operator="containsText" text="Large">
      <formula>NOT(ISERROR(SEARCH("Large",X63)))</formula>
    </cfRule>
  </conditionalFormatting>
  <conditionalFormatting sqref="X63">
    <cfRule type="containsText" dxfId="1114" priority="1481" operator="containsText" text="Small">
      <formula>NOT(ISERROR(SEARCH("Small",X63)))</formula>
    </cfRule>
    <cfRule type="containsText" dxfId="1113" priority="1482" operator="containsText" text="Mid">
      <formula>NOT(ISERROR(SEARCH("Mid",X63)))</formula>
    </cfRule>
    <cfRule type="containsText" dxfId="1112" priority="1483" operator="containsText" text="Large">
      <formula>NOT(ISERROR(SEARCH("Large",X63)))</formula>
    </cfRule>
  </conditionalFormatting>
  <conditionalFormatting sqref="X63">
    <cfRule type="containsText" dxfId="1111" priority="1478" operator="containsText" text="Small">
      <formula>NOT(ISERROR(SEARCH("Small",X63)))</formula>
    </cfRule>
    <cfRule type="containsText" dxfId="1110" priority="1479" operator="containsText" text="Mid">
      <formula>NOT(ISERROR(SEARCH("Mid",X63)))</formula>
    </cfRule>
    <cfRule type="containsText" dxfId="1109" priority="1480" operator="containsText" text="Large">
      <formula>NOT(ISERROR(SEARCH("Large",X63)))</formula>
    </cfRule>
  </conditionalFormatting>
  <conditionalFormatting sqref="X63">
    <cfRule type="containsText" dxfId="1108" priority="1475" operator="containsText" text="Small">
      <formula>NOT(ISERROR(SEARCH("Small",X63)))</formula>
    </cfRule>
    <cfRule type="containsText" dxfId="1107" priority="1476" operator="containsText" text="Mid">
      <formula>NOT(ISERROR(SEARCH("Mid",X63)))</formula>
    </cfRule>
    <cfRule type="containsText" dxfId="1106" priority="1477" operator="containsText" text="Large">
      <formula>NOT(ISERROR(SEARCH("Large",X63)))</formula>
    </cfRule>
  </conditionalFormatting>
  <conditionalFormatting sqref="X63">
    <cfRule type="containsText" dxfId="1105" priority="1472" operator="containsText" text="Small">
      <formula>NOT(ISERROR(SEARCH("Small",X63)))</formula>
    </cfRule>
    <cfRule type="containsText" dxfId="1104" priority="1473" operator="containsText" text="Mid">
      <formula>NOT(ISERROR(SEARCH("Mid",X63)))</formula>
    </cfRule>
    <cfRule type="containsText" dxfId="1103" priority="1474" operator="containsText" text="Large">
      <formula>NOT(ISERROR(SEARCH("Large",X63)))</formula>
    </cfRule>
  </conditionalFormatting>
  <conditionalFormatting sqref="X63">
    <cfRule type="containsText" dxfId="1102" priority="1469" operator="containsText" text="Small">
      <formula>NOT(ISERROR(SEARCH("Small",X63)))</formula>
    </cfRule>
    <cfRule type="containsText" dxfId="1101" priority="1470" operator="containsText" text="Mid">
      <formula>NOT(ISERROR(SEARCH("Mid",X63)))</formula>
    </cfRule>
    <cfRule type="containsText" dxfId="1100" priority="1471" operator="containsText" text="Large">
      <formula>NOT(ISERROR(SEARCH("Large",X63)))</formula>
    </cfRule>
  </conditionalFormatting>
  <conditionalFormatting sqref="X63">
    <cfRule type="containsText" dxfId="1099" priority="1466" operator="containsText" text="Small">
      <formula>NOT(ISERROR(SEARCH("Small",X63)))</formula>
    </cfRule>
    <cfRule type="containsText" dxfId="1098" priority="1467" operator="containsText" text="Mid">
      <formula>NOT(ISERROR(SEARCH("Mid",X63)))</formula>
    </cfRule>
    <cfRule type="containsText" dxfId="1097" priority="1468" operator="containsText" text="Large">
      <formula>NOT(ISERROR(SEARCH("Large",X63)))</formula>
    </cfRule>
  </conditionalFormatting>
  <conditionalFormatting sqref="X63">
    <cfRule type="containsText" dxfId="1096" priority="1463" operator="containsText" text="Small">
      <formula>NOT(ISERROR(SEARCH("Small",X63)))</formula>
    </cfRule>
    <cfRule type="containsText" dxfId="1095" priority="1464" operator="containsText" text="Mid">
      <formula>NOT(ISERROR(SEARCH("Mid",X63)))</formula>
    </cfRule>
    <cfRule type="containsText" dxfId="1094" priority="1465" operator="containsText" text="Large">
      <formula>NOT(ISERROR(SEARCH("Large",X63)))</formula>
    </cfRule>
  </conditionalFormatting>
  <conditionalFormatting sqref="X63">
    <cfRule type="containsText" dxfId="1093" priority="1460" operator="containsText" text="Small">
      <formula>NOT(ISERROR(SEARCH("Small",X63)))</formula>
    </cfRule>
    <cfRule type="containsText" dxfId="1092" priority="1461" operator="containsText" text="Mid">
      <formula>NOT(ISERROR(SEARCH("Mid",X63)))</formula>
    </cfRule>
    <cfRule type="containsText" dxfId="1091" priority="1462" operator="containsText" text="Large">
      <formula>NOT(ISERROR(SEARCH("Large",X63)))</formula>
    </cfRule>
  </conditionalFormatting>
  <conditionalFormatting sqref="X63">
    <cfRule type="containsText" dxfId="1090" priority="1457" operator="containsText" text="Small">
      <formula>NOT(ISERROR(SEARCH("Small",X63)))</formula>
    </cfRule>
    <cfRule type="containsText" dxfId="1089" priority="1458" operator="containsText" text="Mid">
      <formula>NOT(ISERROR(SEARCH("Mid",X63)))</formula>
    </cfRule>
    <cfRule type="containsText" dxfId="1088" priority="1459" operator="containsText" text="Large">
      <formula>NOT(ISERROR(SEARCH("Large",X63)))</formula>
    </cfRule>
  </conditionalFormatting>
  <conditionalFormatting sqref="X63">
    <cfRule type="containsText" dxfId="1087" priority="1454" operator="containsText" text="Small">
      <formula>NOT(ISERROR(SEARCH("Small",X63)))</formula>
    </cfRule>
    <cfRule type="containsText" dxfId="1086" priority="1455" operator="containsText" text="Mid">
      <formula>NOT(ISERROR(SEARCH("Mid",X63)))</formula>
    </cfRule>
    <cfRule type="containsText" dxfId="1085" priority="1456" operator="containsText" text="Large">
      <formula>NOT(ISERROR(SEARCH("Large",X63)))</formula>
    </cfRule>
  </conditionalFormatting>
  <conditionalFormatting sqref="X63">
    <cfRule type="containsText" dxfId="1084" priority="1451" operator="containsText" text="Small">
      <formula>NOT(ISERROR(SEARCH("Small",X63)))</formula>
    </cfRule>
    <cfRule type="containsText" dxfId="1083" priority="1452" operator="containsText" text="Mid">
      <formula>NOT(ISERROR(SEARCH("Mid",X63)))</formula>
    </cfRule>
    <cfRule type="containsText" dxfId="1082" priority="1453" operator="containsText" text="Large">
      <formula>NOT(ISERROR(SEARCH("Large",X63)))</formula>
    </cfRule>
  </conditionalFormatting>
  <conditionalFormatting sqref="X63">
    <cfRule type="containsText" dxfId="1081" priority="1448" operator="containsText" text="Small">
      <formula>NOT(ISERROR(SEARCH("Small",X63)))</formula>
    </cfRule>
    <cfRule type="containsText" dxfId="1080" priority="1449" operator="containsText" text="Mid">
      <formula>NOT(ISERROR(SEARCH("Mid",X63)))</formula>
    </cfRule>
    <cfRule type="containsText" dxfId="1079" priority="1450" operator="containsText" text="Large">
      <formula>NOT(ISERROR(SEARCH("Large",X63)))</formula>
    </cfRule>
  </conditionalFormatting>
  <conditionalFormatting sqref="X63">
    <cfRule type="containsText" dxfId="1078" priority="1445" operator="containsText" text="Small">
      <formula>NOT(ISERROR(SEARCH("Small",X63)))</formula>
    </cfRule>
    <cfRule type="containsText" dxfId="1077" priority="1446" operator="containsText" text="Mid">
      <formula>NOT(ISERROR(SEARCH("Mid",X63)))</formula>
    </cfRule>
    <cfRule type="containsText" dxfId="1076" priority="1447" operator="containsText" text="Large">
      <formula>NOT(ISERROR(SEARCH("Large",X63)))</formula>
    </cfRule>
  </conditionalFormatting>
  <conditionalFormatting sqref="X63">
    <cfRule type="containsText" dxfId="1075" priority="1442" operator="containsText" text="Small">
      <formula>NOT(ISERROR(SEARCH("Small",X63)))</formula>
    </cfRule>
    <cfRule type="containsText" dxfId="1074" priority="1443" operator="containsText" text="Mid">
      <formula>NOT(ISERROR(SEARCH("Mid",X63)))</formula>
    </cfRule>
    <cfRule type="containsText" dxfId="1073" priority="1444" operator="containsText" text="Large">
      <formula>NOT(ISERROR(SEARCH("Large",X63)))</formula>
    </cfRule>
  </conditionalFormatting>
  <conditionalFormatting sqref="X63">
    <cfRule type="containsText" dxfId="1072" priority="1439" operator="containsText" text="Small">
      <formula>NOT(ISERROR(SEARCH("Small",X63)))</formula>
    </cfRule>
    <cfRule type="containsText" dxfId="1071" priority="1440" operator="containsText" text="Mid">
      <formula>NOT(ISERROR(SEARCH("Mid",X63)))</formula>
    </cfRule>
    <cfRule type="containsText" dxfId="1070" priority="1441" operator="containsText" text="Large">
      <formula>NOT(ISERROR(SEARCH("Large",X63)))</formula>
    </cfRule>
  </conditionalFormatting>
  <conditionalFormatting sqref="X63">
    <cfRule type="containsText" dxfId="1069" priority="1436" operator="containsText" text="Small">
      <formula>NOT(ISERROR(SEARCH("Small",X63)))</formula>
    </cfRule>
    <cfRule type="containsText" dxfId="1068" priority="1437" operator="containsText" text="Mid">
      <formula>NOT(ISERROR(SEARCH("Mid",X63)))</formula>
    </cfRule>
    <cfRule type="containsText" dxfId="1067" priority="1438" operator="containsText" text="Large">
      <formula>NOT(ISERROR(SEARCH("Large",X63)))</formula>
    </cfRule>
  </conditionalFormatting>
  <conditionalFormatting sqref="X63">
    <cfRule type="containsText" dxfId="1066" priority="1433" operator="containsText" text="Small">
      <formula>NOT(ISERROR(SEARCH("Small",X63)))</formula>
    </cfRule>
    <cfRule type="containsText" dxfId="1065" priority="1434" operator="containsText" text="Mid">
      <formula>NOT(ISERROR(SEARCH("Mid",X63)))</formula>
    </cfRule>
    <cfRule type="containsText" dxfId="1064" priority="1435" operator="containsText" text="Large">
      <formula>NOT(ISERROR(SEARCH("Large",X63)))</formula>
    </cfRule>
  </conditionalFormatting>
  <conditionalFormatting sqref="X63">
    <cfRule type="containsText" dxfId="1063" priority="1430" operator="containsText" text="Small">
      <formula>NOT(ISERROR(SEARCH("Small",X63)))</formula>
    </cfRule>
    <cfRule type="containsText" dxfId="1062" priority="1431" operator="containsText" text="Mid">
      <formula>NOT(ISERROR(SEARCH("Mid",X63)))</formula>
    </cfRule>
    <cfRule type="containsText" dxfId="1061" priority="1432" operator="containsText" text="Large">
      <formula>NOT(ISERROR(SEARCH("Large",X63)))</formula>
    </cfRule>
  </conditionalFormatting>
  <conditionalFormatting sqref="X63">
    <cfRule type="containsText" dxfId="1060" priority="1427" operator="containsText" text="Small">
      <formula>NOT(ISERROR(SEARCH("Small",X63)))</formula>
    </cfRule>
    <cfRule type="containsText" dxfId="1059" priority="1428" operator="containsText" text="Mid">
      <formula>NOT(ISERROR(SEARCH("Mid",X63)))</formula>
    </cfRule>
    <cfRule type="containsText" dxfId="1058" priority="1429" operator="containsText" text="Large">
      <formula>NOT(ISERROR(SEARCH("Large",X63)))</formula>
    </cfRule>
  </conditionalFormatting>
  <conditionalFormatting sqref="X63">
    <cfRule type="containsText" dxfId="1057" priority="1424" operator="containsText" text="Small">
      <formula>NOT(ISERROR(SEARCH("Small",X63)))</formula>
    </cfRule>
    <cfRule type="containsText" dxfId="1056" priority="1425" operator="containsText" text="Mid">
      <formula>NOT(ISERROR(SEARCH("Mid",X63)))</formula>
    </cfRule>
    <cfRule type="containsText" dxfId="1055" priority="1426" operator="containsText" text="Large">
      <formula>NOT(ISERROR(SEARCH("Large",X63)))</formula>
    </cfRule>
  </conditionalFormatting>
  <conditionalFormatting sqref="X63">
    <cfRule type="containsText" dxfId="1054" priority="1421" operator="containsText" text="Small">
      <formula>NOT(ISERROR(SEARCH("Small",X63)))</formula>
    </cfRule>
    <cfRule type="containsText" dxfId="1053" priority="1422" operator="containsText" text="Mid">
      <formula>NOT(ISERROR(SEARCH("Mid",X63)))</formula>
    </cfRule>
    <cfRule type="containsText" dxfId="1052" priority="1423" operator="containsText" text="Large">
      <formula>NOT(ISERROR(SEARCH("Large",X63)))</formula>
    </cfRule>
  </conditionalFormatting>
  <conditionalFormatting sqref="X63">
    <cfRule type="containsText" dxfId="1051" priority="1418" operator="containsText" text="Small">
      <formula>NOT(ISERROR(SEARCH("Small",X63)))</formula>
    </cfRule>
    <cfRule type="containsText" dxfId="1050" priority="1419" operator="containsText" text="Mid">
      <formula>NOT(ISERROR(SEARCH("Mid",X63)))</formula>
    </cfRule>
    <cfRule type="containsText" dxfId="1049" priority="1420" operator="containsText" text="Large">
      <formula>NOT(ISERROR(SEARCH("Large",X63)))</formula>
    </cfRule>
  </conditionalFormatting>
  <conditionalFormatting sqref="X63">
    <cfRule type="containsText" dxfId="1048" priority="1415" operator="containsText" text="Small">
      <formula>NOT(ISERROR(SEARCH("Small",X63)))</formula>
    </cfRule>
    <cfRule type="containsText" dxfId="1047" priority="1416" operator="containsText" text="Mid">
      <formula>NOT(ISERROR(SEARCH("Mid",X63)))</formula>
    </cfRule>
    <cfRule type="containsText" dxfId="1046" priority="1417" operator="containsText" text="Large">
      <formula>NOT(ISERROR(SEARCH("Large",X63)))</formula>
    </cfRule>
  </conditionalFormatting>
  <conditionalFormatting sqref="X63">
    <cfRule type="containsText" dxfId="1045" priority="1412" operator="containsText" text="Small">
      <formula>NOT(ISERROR(SEARCH("Small",X63)))</formula>
    </cfRule>
    <cfRule type="containsText" dxfId="1044" priority="1413" operator="containsText" text="Mid">
      <formula>NOT(ISERROR(SEARCH("Mid",X63)))</formula>
    </cfRule>
    <cfRule type="containsText" dxfId="1043" priority="1414" operator="containsText" text="Large">
      <formula>NOT(ISERROR(SEARCH("Large",X63)))</formula>
    </cfRule>
  </conditionalFormatting>
  <conditionalFormatting sqref="X63">
    <cfRule type="containsText" dxfId="1042" priority="1409" operator="containsText" text="Small">
      <formula>NOT(ISERROR(SEARCH("Small",X63)))</formula>
    </cfRule>
    <cfRule type="containsText" dxfId="1041" priority="1410" operator="containsText" text="Mid">
      <formula>NOT(ISERROR(SEARCH("Mid",X63)))</formula>
    </cfRule>
    <cfRule type="containsText" dxfId="1040" priority="1411" operator="containsText" text="Large">
      <formula>NOT(ISERROR(SEARCH("Large",X63)))</formula>
    </cfRule>
  </conditionalFormatting>
  <conditionalFormatting sqref="X63">
    <cfRule type="containsText" dxfId="1039" priority="1406" operator="containsText" text="Small">
      <formula>NOT(ISERROR(SEARCH("Small",X63)))</formula>
    </cfRule>
    <cfRule type="containsText" dxfId="1038" priority="1407" operator="containsText" text="Mid">
      <formula>NOT(ISERROR(SEARCH("Mid",X63)))</formula>
    </cfRule>
    <cfRule type="containsText" dxfId="1037" priority="1408" operator="containsText" text="Large">
      <formula>NOT(ISERROR(SEARCH("Large",X63)))</formula>
    </cfRule>
  </conditionalFormatting>
  <conditionalFormatting sqref="AE63">
    <cfRule type="containsText" dxfId="1036" priority="1405" operator="containsText" text="NA">
      <formula>NOT(ISERROR(SEARCH("NA",AE63)))</formula>
    </cfRule>
  </conditionalFormatting>
  <conditionalFormatting sqref="AH65 AH58:AH62">
    <cfRule type="cellIs" dxfId="1035" priority="1404" operator="lessThan">
      <formula>0</formula>
    </cfRule>
  </conditionalFormatting>
  <conditionalFormatting sqref="AH65 AH58:AH62">
    <cfRule type="cellIs" dxfId="1034" priority="1403" operator="greaterThan">
      <formula>0</formula>
    </cfRule>
  </conditionalFormatting>
  <conditionalFormatting sqref="AH65 AH58:AH62">
    <cfRule type="cellIs" dxfId="1033" priority="1402" operator="greaterThan">
      <formula>0</formula>
    </cfRule>
  </conditionalFormatting>
  <conditionalFormatting sqref="AE64">
    <cfRule type="cellIs" dxfId="1032" priority="1401" operator="equal">
      <formula>"""Large"""</formula>
    </cfRule>
  </conditionalFormatting>
  <conditionalFormatting sqref="AE63">
    <cfRule type="containsText" dxfId="1031" priority="1400" operator="containsText" text="No Cap">
      <formula>NOT(ISERROR(SEARCH("No Cap",AE63)))</formula>
    </cfRule>
  </conditionalFormatting>
  <conditionalFormatting sqref="AE63">
    <cfRule type="containsText" dxfId="1030" priority="1399" operator="containsText" text="No Cap">
      <formula>NOT(ISERROR(SEARCH("No Cap",AE63)))</formula>
    </cfRule>
  </conditionalFormatting>
  <conditionalFormatting sqref="AE63">
    <cfRule type="containsText" dxfId="1029" priority="1396" operator="containsText" text="Small">
      <formula>NOT(ISERROR(SEARCH("Small",AE63)))</formula>
    </cfRule>
    <cfRule type="containsText" dxfId="1028" priority="1397" operator="containsText" text="Mid">
      <formula>NOT(ISERROR(SEARCH("Mid",AE63)))</formula>
    </cfRule>
    <cfRule type="containsText" dxfId="1027" priority="1398" operator="containsText" text="Large">
      <formula>NOT(ISERROR(SEARCH("Large",AE63)))</formula>
    </cfRule>
  </conditionalFormatting>
  <conditionalFormatting sqref="AE63">
    <cfRule type="containsText" dxfId="1026" priority="1393" operator="containsText" text="Small">
      <formula>NOT(ISERROR(SEARCH("Small",AE63)))</formula>
    </cfRule>
    <cfRule type="containsText" dxfId="1025" priority="1394" operator="containsText" text="Mid">
      <formula>NOT(ISERROR(SEARCH("Mid",AE63)))</formula>
    </cfRule>
    <cfRule type="containsText" dxfId="1024" priority="1395" operator="containsText" text="Large">
      <formula>NOT(ISERROR(SEARCH("Large",AE63)))</formula>
    </cfRule>
  </conditionalFormatting>
  <conditionalFormatting sqref="AE63">
    <cfRule type="containsText" dxfId="1023" priority="1390" operator="containsText" text="Small">
      <formula>NOT(ISERROR(SEARCH("Small",AE63)))</formula>
    </cfRule>
    <cfRule type="containsText" dxfId="1022" priority="1391" operator="containsText" text="Mid">
      <formula>NOT(ISERROR(SEARCH("Mid",AE63)))</formula>
    </cfRule>
    <cfRule type="containsText" dxfId="1021" priority="1392" operator="containsText" text="Large">
      <formula>NOT(ISERROR(SEARCH("Large",AE63)))</formula>
    </cfRule>
  </conditionalFormatting>
  <conditionalFormatting sqref="AE63">
    <cfRule type="containsText" dxfId="1020" priority="1389" operator="containsText" text="NA">
      <formula>NOT(ISERROR(SEARCH("NA",AE63)))</formula>
    </cfRule>
  </conditionalFormatting>
  <conditionalFormatting sqref="AE63">
    <cfRule type="containsText" dxfId="1019" priority="1386" operator="containsText" text="Small">
      <formula>NOT(ISERROR(SEARCH("Small",AE63)))</formula>
    </cfRule>
    <cfRule type="containsText" dxfId="1018" priority="1387" operator="containsText" text="Mid">
      <formula>NOT(ISERROR(SEARCH("Mid",AE63)))</formula>
    </cfRule>
    <cfRule type="containsText" dxfId="1017" priority="1388" operator="containsText" text="Large">
      <formula>NOT(ISERROR(SEARCH("Large",AE63)))</formula>
    </cfRule>
  </conditionalFormatting>
  <conditionalFormatting sqref="AE63">
    <cfRule type="containsText" dxfId="1016" priority="1383" operator="containsText" text="Small">
      <formula>NOT(ISERROR(SEARCH("Small",AE63)))</formula>
    </cfRule>
    <cfRule type="containsText" dxfId="1015" priority="1384" operator="containsText" text="Mid">
      <formula>NOT(ISERROR(SEARCH("Mid",AE63)))</formula>
    </cfRule>
    <cfRule type="containsText" dxfId="1014" priority="1385" operator="containsText" text="Large">
      <formula>NOT(ISERROR(SEARCH("Large",AE63)))</formula>
    </cfRule>
  </conditionalFormatting>
  <conditionalFormatting sqref="AE63">
    <cfRule type="containsText" dxfId="1013" priority="1380" operator="containsText" text="Small">
      <formula>NOT(ISERROR(SEARCH("Small",AE63)))</formula>
    </cfRule>
    <cfRule type="containsText" dxfId="1012" priority="1381" operator="containsText" text="Mid">
      <formula>NOT(ISERROR(SEARCH("Mid",AE63)))</formula>
    </cfRule>
    <cfRule type="containsText" dxfId="1011" priority="1382" operator="containsText" text="Large">
      <formula>NOT(ISERROR(SEARCH("Large",AE63)))</formula>
    </cfRule>
  </conditionalFormatting>
  <conditionalFormatting sqref="AE63">
    <cfRule type="containsText" dxfId="1010" priority="1377" operator="containsText" text="Small">
      <formula>NOT(ISERROR(SEARCH("Small",AE63)))</formula>
    </cfRule>
    <cfRule type="containsText" dxfId="1009" priority="1378" operator="containsText" text="Mid">
      <formula>NOT(ISERROR(SEARCH("Mid",AE63)))</formula>
    </cfRule>
    <cfRule type="containsText" dxfId="1008" priority="1379" operator="containsText" text="Large">
      <formula>NOT(ISERROR(SEARCH("Large",AE63)))</formula>
    </cfRule>
  </conditionalFormatting>
  <conditionalFormatting sqref="AE63">
    <cfRule type="containsText" dxfId="1007" priority="1374" operator="containsText" text="Small">
      <formula>NOT(ISERROR(SEARCH("Small",AE63)))</formula>
    </cfRule>
    <cfRule type="containsText" dxfId="1006" priority="1375" operator="containsText" text="Mid">
      <formula>NOT(ISERROR(SEARCH("Mid",AE63)))</formula>
    </cfRule>
    <cfRule type="containsText" dxfId="1005" priority="1376" operator="containsText" text="Large">
      <formula>NOT(ISERROR(SEARCH("Large",AE63)))</formula>
    </cfRule>
  </conditionalFormatting>
  <conditionalFormatting sqref="AE63">
    <cfRule type="containsText" dxfId="1004" priority="1371" operator="containsText" text="Small">
      <formula>NOT(ISERROR(SEARCH("Small",AE63)))</formula>
    </cfRule>
    <cfRule type="containsText" dxfId="1003" priority="1372" operator="containsText" text="Mid">
      <formula>NOT(ISERROR(SEARCH("Mid",AE63)))</formula>
    </cfRule>
    <cfRule type="containsText" dxfId="1002" priority="1373" operator="containsText" text="Large">
      <formula>NOT(ISERROR(SEARCH("Large",AE63)))</formula>
    </cfRule>
  </conditionalFormatting>
  <conditionalFormatting sqref="AE63">
    <cfRule type="containsText" dxfId="1001" priority="1368" operator="containsText" text="Small">
      <formula>NOT(ISERROR(SEARCH("Small",AE63)))</formula>
    </cfRule>
    <cfRule type="containsText" dxfId="1000" priority="1369" operator="containsText" text="Mid">
      <formula>NOT(ISERROR(SEARCH("Mid",AE63)))</formula>
    </cfRule>
    <cfRule type="containsText" dxfId="999" priority="1370" operator="containsText" text="Large">
      <formula>NOT(ISERROR(SEARCH("Large",AE63)))</formula>
    </cfRule>
  </conditionalFormatting>
  <conditionalFormatting sqref="AE63">
    <cfRule type="containsText" dxfId="998" priority="1365" operator="containsText" text="Small">
      <formula>NOT(ISERROR(SEARCH("Small",AE63)))</formula>
    </cfRule>
    <cfRule type="containsText" dxfId="997" priority="1366" operator="containsText" text="Mid">
      <formula>NOT(ISERROR(SEARCH("Mid",AE63)))</formula>
    </cfRule>
    <cfRule type="containsText" dxfId="996" priority="1367" operator="containsText" text="Large">
      <formula>NOT(ISERROR(SEARCH("Large",AE63)))</formula>
    </cfRule>
  </conditionalFormatting>
  <conditionalFormatting sqref="AE63">
    <cfRule type="containsText" dxfId="995" priority="1362" operator="containsText" text="Small">
      <formula>NOT(ISERROR(SEARCH("Small",AE63)))</formula>
    </cfRule>
    <cfRule type="containsText" dxfId="994" priority="1363" operator="containsText" text="Mid">
      <formula>NOT(ISERROR(SEARCH("Mid",AE63)))</formula>
    </cfRule>
    <cfRule type="containsText" dxfId="993" priority="1364" operator="containsText" text="Large">
      <formula>NOT(ISERROR(SEARCH("Large",AE63)))</formula>
    </cfRule>
  </conditionalFormatting>
  <conditionalFormatting sqref="AE63">
    <cfRule type="containsText" dxfId="992" priority="1359" operator="containsText" text="Small">
      <formula>NOT(ISERROR(SEARCH("Small",AE63)))</formula>
    </cfRule>
    <cfRule type="containsText" dxfId="991" priority="1360" operator="containsText" text="Mid">
      <formula>NOT(ISERROR(SEARCH("Mid",AE63)))</formula>
    </cfRule>
    <cfRule type="containsText" dxfId="990" priority="1361" operator="containsText" text="Large">
      <formula>NOT(ISERROR(SEARCH("Large",AE63)))</formula>
    </cfRule>
  </conditionalFormatting>
  <conditionalFormatting sqref="AE63">
    <cfRule type="containsText" dxfId="989" priority="1356" operator="containsText" text="Small">
      <formula>NOT(ISERROR(SEARCH("Small",AE63)))</formula>
    </cfRule>
    <cfRule type="containsText" dxfId="988" priority="1357" operator="containsText" text="Mid">
      <formula>NOT(ISERROR(SEARCH("Mid",AE63)))</formula>
    </cfRule>
    <cfRule type="containsText" dxfId="987" priority="1358" operator="containsText" text="Large">
      <formula>NOT(ISERROR(SEARCH("Large",AE63)))</formula>
    </cfRule>
  </conditionalFormatting>
  <conditionalFormatting sqref="AE63">
    <cfRule type="containsText" dxfId="986" priority="1353" operator="containsText" text="Small">
      <formula>NOT(ISERROR(SEARCH("Small",AE63)))</formula>
    </cfRule>
    <cfRule type="containsText" dxfId="985" priority="1354" operator="containsText" text="Mid">
      <formula>NOT(ISERROR(SEARCH("Mid",AE63)))</formula>
    </cfRule>
    <cfRule type="containsText" dxfId="984" priority="1355" operator="containsText" text="Large">
      <formula>NOT(ISERROR(SEARCH("Large",AE63)))</formula>
    </cfRule>
  </conditionalFormatting>
  <conditionalFormatting sqref="AE63">
    <cfRule type="containsText" dxfId="983" priority="1350" operator="containsText" text="Small">
      <formula>NOT(ISERROR(SEARCH("Small",AE63)))</formula>
    </cfRule>
    <cfRule type="containsText" dxfId="982" priority="1351" operator="containsText" text="Mid">
      <formula>NOT(ISERROR(SEARCH("Mid",AE63)))</formula>
    </cfRule>
    <cfRule type="containsText" dxfId="981" priority="1352" operator="containsText" text="Large">
      <formula>NOT(ISERROR(SEARCH("Large",AE63)))</formula>
    </cfRule>
  </conditionalFormatting>
  <conditionalFormatting sqref="AE63">
    <cfRule type="containsText" dxfId="980" priority="1347" operator="containsText" text="Small">
      <formula>NOT(ISERROR(SEARCH("Small",AE63)))</formula>
    </cfRule>
    <cfRule type="containsText" dxfId="979" priority="1348" operator="containsText" text="Mid">
      <formula>NOT(ISERROR(SEARCH("Mid",AE63)))</formula>
    </cfRule>
    <cfRule type="containsText" dxfId="978" priority="1349" operator="containsText" text="Large">
      <formula>NOT(ISERROR(SEARCH("Large",AE63)))</formula>
    </cfRule>
  </conditionalFormatting>
  <conditionalFormatting sqref="AE63">
    <cfRule type="containsText" dxfId="977" priority="1344" operator="containsText" text="Small">
      <formula>NOT(ISERROR(SEARCH("Small",AE63)))</formula>
    </cfRule>
    <cfRule type="containsText" dxfId="976" priority="1345" operator="containsText" text="Mid">
      <formula>NOT(ISERROR(SEARCH("Mid",AE63)))</formula>
    </cfRule>
    <cfRule type="containsText" dxfId="975" priority="1346" operator="containsText" text="Large">
      <formula>NOT(ISERROR(SEARCH("Large",AE63)))</formula>
    </cfRule>
  </conditionalFormatting>
  <conditionalFormatting sqref="AE63">
    <cfRule type="containsText" dxfId="974" priority="1341" operator="containsText" text="Small">
      <formula>NOT(ISERROR(SEARCH("Small",AE63)))</formula>
    </cfRule>
    <cfRule type="containsText" dxfId="973" priority="1342" operator="containsText" text="Mid">
      <formula>NOT(ISERROR(SEARCH("Mid",AE63)))</formula>
    </cfRule>
    <cfRule type="containsText" dxfId="972" priority="1343" operator="containsText" text="Large">
      <formula>NOT(ISERROR(SEARCH("Large",AE63)))</formula>
    </cfRule>
  </conditionalFormatting>
  <conditionalFormatting sqref="AE63">
    <cfRule type="containsText" dxfId="971" priority="1338" operator="containsText" text="Small">
      <formula>NOT(ISERROR(SEARCH("Small",AE63)))</formula>
    </cfRule>
    <cfRule type="containsText" dxfId="970" priority="1339" operator="containsText" text="Mid">
      <formula>NOT(ISERROR(SEARCH("Mid",AE63)))</formula>
    </cfRule>
    <cfRule type="containsText" dxfId="969" priority="1340" operator="containsText" text="Large">
      <formula>NOT(ISERROR(SEARCH("Large",AE63)))</formula>
    </cfRule>
  </conditionalFormatting>
  <conditionalFormatting sqref="AE63">
    <cfRule type="containsText" dxfId="968" priority="1335" operator="containsText" text="Small">
      <formula>NOT(ISERROR(SEARCH("Small",AE63)))</formula>
    </cfRule>
    <cfRule type="containsText" dxfId="967" priority="1336" operator="containsText" text="Mid">
      <formula>NOT(ISERROR(SEARCH("Mid",AE63)))</formula>
    </cfRule>
    <cfRule type="containsText" dxfId="966" priority="1337" operator="containsText" text="Large">
      <formula>NOT(ISERROR(SEARCH("Large",AE63)))</formula>
    </cfRule>
  </conditionalFormatting>
  <conditionalFormatting sqref="AE63">
    <cfRule type="containsText" dxfId="965" priority="1332" operator="containsText" text="Small">
      <formula>NOT(ISERROR(SEARCH("Small",AE63)))</formula>
    </cfRule>
    <cfRule type="containsText" dxfId="964" priority="1333" operator="containsText" text="Mid">
      <formula>NOT(ISERROR(SEARCH("Mid",AE63)))</formula>
    </cfRule>
    <cfRule type="containsText" dxfId="963" priority="1334" operator="containsText" text="Large">
      <formula>NOT(ISERROR(SEARCH("Large",AE63)))</formula>
    </cfRule>
  </conditionalFormatting>
  <conditionalFormatting sqref="AE63">
    <cfRule type="containsText" dxfId="962" priority="1329" operator="containsText" text="Small">
      <formula>NOT(ISERROR(SEARCH("Small",AE63)))</formula>
    </cfRule>
    <cfRule type="containsText" dxfId="961" priority="1330" operator="containsText" text="Mid">
      <formula>NOT(ISERROR(SEARCH("Mid",AE63)))</formula>
    </cfRule>
    <cfRule type="containsText" dxfId="960" priority="1331" operator="containsText" text="Large">
      <formula>NOT(ISERROR(SEARCH("Large",AE63)))</formula>
    </cfRule>
  </conditionalFormatting>
  <conditionalFormatting sqref="AE63">
    <cfRule type="containsText" dxfId="959" priority="1326" operator="containsText" text="Small">
      <formula>NOT(ISERROR(SEARCH("Small",AE63)))</formula>
    </cfRule>
    <cfRule type="containsText" dxfId="958" priority="1327" operator="containsText" text="Mid">
      <formula>NOT(ISERROR(SEARCH("Mid",AE63)))</formula>
    </cfRule>
    <cfRule type="containsText" dxfId="957" priority="1328" operator="containsText" text="Large">
      <formula>NOT(ISERROR(SEARCH("Large",AE63)))</formula>
    </cfRule>
  </conditionalFormatting>
  <conditionalFormatting sqref="AE63">
    <cfRule type="containsText" dxfId="956" priority="1323" operator="containsText" text="Small">
      <formula>NOT(ISERROR(SEARCH("Small",AE63)))</formula>
    </cfRule>
    <cfRule type="containsText" dxfId="955" priority="1324" operator="containsText" text="Mid">
      <formula>NOT(ISERROR(SEARCH("Mid",AE63)))</formula>
    </cfRule>
    <cfRule type="containsText" dxfId="954" priority="1325" operator="containsText" text="Large">
      <formula>NOT(ISERROR(SEARCH("Large",AE63)))</formula>
    </cfRule>
  </conditionalFormatting>
  <conditionalFormatting sqref="AE63">
    <cfRule type="containsText" dxfId="953" priority="1320" operator="containsText" text="Small">
      <formula>NOT(ISERROR(SEARCH("Small",AE63)))</formula>
    </cfRule>
    <cfRule type="containsText" dxfId="952" priority="1321" operator="containsText" text="Mid">
      <formula>NOT(ISERROR(SEARCH("Mid",AE63)))</formula>
    </cfRule>
    <cfRule type="containsText" dxfId="951" priority="1322" operator="containsText" text="Large">
      <formula>NOT(ISERROR(SEARCH("Large",AE63)))</formula>
    </cfRule>
  </conditionalFormatting>
  <conditionalFormatting sqref="AE63">
    <cfRule type="containsText" dxfId="950" priority="1317" operator="containsText" text="Small">
      <formula>NOT(ISERROR(SEARCH("Small",AE63)))</formula>
    </cfRule>
    <cfRule type="containsText" dxfId="949" priority="1318" operator="containsText" text="Mid">
      <formula>NOT(ISERROR(SEARCH("Mid",AE63)))</formula>
    </cfRule>
    <cfRule type="containsText" dxfId="948" priority="1319" operator="containsText" text="Large">
      <formula>NOT(ISERROR(SEARCH("Large",AE63)))</formula>
    </cfRule>
  </conditionalFormatting>
  <conditionalFormatting sqref="AE63">
    <cfRule type="containsText" dxfId="947" priority="1314" operator="containsText" text="Small">
      <formula>NOT(ISERROR(SEARCH("Small",AE63)))</formula>
    </cfRule>
    <cfRule type="containsText" dxfId="946" priority="1315" operator="containsText" text="Mid">
      <formula>NOT(ISERROR(SEARCH("Mid",AE63)))</formula>
    </cfRule>
    <cfRule type="containsText" dxfId="945" priority="1316" operator="containsText" text="Large">
      <formula>NOT(ISERROR(SEARCH("Large",AE63)))</formula>
    </cfRule>
  </conditionalFormatting>
  <conditionalFormatting sqref="AE63">
    <cfRule type="containsText" dxfId="944" priority="1311" operator="containsText" text="Small">
      <formula>NOT(ISERROR(SEARCH("Small",AE63)))</formula>
    </cfRule>
    <cfRule type="containsText" dxfId="943" priority="1312" operator="containsText" text="Mid">
      <formula>NOT(ISERROR(SEARCH("Mid",AE63)))</formula>
    </cfRule>
    <cfRule type="containsText" dxfId="942" priority="1313" operator="containsText" text="Large">
      <formula>NOT(ISERROR(SEARCH("Large",AE63)))</formula>
    </cfRule>
  </conditionalFormatting>
  <conditionalFormatting sqref="AE63">
    <cfRule type="containsText" dxfId="941" priority="1308" operator="containsText" text="Small">
      <formula>NOT(ISERROR(SEARCH("Small",AE63)))</formula>
    </cfRule>
    <cfRule type="containsText" dxfId="940" priority="1309" operator="containsText" text="Mid">
      <formula>NOT(ISERROR(SEARCH("Mid",AE63)))</formula>
    </cfRule>
    <cfRule type="containsText" dxfId="939" priority="1310" operator="containsText" text="Large">
      <formula>NOT(ISERROR(SEARCH("Large",AE63)))</formula>
    </cfRule>
  </conditionalFormatting>
  <conditionalFormatting sqref="AE63">
    <cfRule type="containsText" dxfId="938" priority="1305" operator="containsText" text="Small">
      <formula>NOT(ISERROR(SEARCH("Small",AE63)))</formula>
    </cfRule>
    <cfRule type="containsText" dxfId="937" priority="1306" operator="containsText" text="Mid">
      <formula>NOT(ISERROR(SEARCH("Mid",AE63)))</formula>
    </cfRule>
    <cfRule type="containsText" dxfId="936" priority="1307" operator="containsText" text="Large">
      <formula>NOT(ISERROR(SEARCH("Large",AE63)))</formula>
    </cfRule>
  </conditionalFormatting>
  <conditionalFormatting sqref="AE63">
    <cfRule type="containsText" dxfId="935" priority="1302" operator="containsText" text="Small">
      <formula>NOT(ISERROR(SEARCH("Small",AE63)))</formula>
    </cfRule>
    <cfRule type="containsText" dxfId="934" priority="1303" operator="containsText" text="Mid">
      <formula>NOT(ISERROR(SEARCH("Mid",AE63)))</formula>
    </cfRule>
    <cfRule type="containsText" dxfId="933" priority="1304" operator="containsText" text="Large">
      <formula>NOT(ISERROR(SEARCH("Large",AE63)))</formula>
    </cfRule>
  </conditionalFormatting>
  <conditionalFormatting sqref="AE63">
    <cfRule type="containsText" dxfId="932" priority="1299" operator="containsText" text="Small">
      <formula>NOT(ISERROR(SEARCH("Small",AE63)))</formula>
    </cfRule>
    <cfRule type="containsText" dxfId="931" priority="1300" operator="containsText" text="Mid">
      <formula>NOT(ISERROR(SEARCH("Mid",AE63)))</formula>
    </cfRule>
    <cfRule type="containsText" dxfId="930" priority="1301" operator="containsText" text="Large">
      <formula>NOT(ISERROR(SEARCH("Large",AE63)))</formula>
    </cfRule>
  </conditionalFormatting>
  <conditionalFormatting sqref="AE63">
    <cfRule type="containsText" dxfId="929" priority="1296" operator="containsText" text="Small">
      <formula>NOT(ISERROR(SEARCH("Small",AE63)))</formula>
    </cfRule>
    <cfRule type="containsText" dxfId="928" priority="1297" operator="containsText" text="Mid">
      <formula>NOT(ISERROR(SEARCH("Mid",AE63)))</formula>
    </cfRule>
    <cfRule type="containsText" dxfId="927" priority="1298" operator="containsText" text="Large">
      <formula>NOT(ISERROR(SEARCH("Large",AE63)))</formula>
    </cfRule>
  </conditionalFormatting>
  <conditionalFormatting sqref="AE63">
    <cfRule type="containsText" dxfId="926" priority="1293" operator="containsText" text="Small">
      <formula>NOT(ISERROR(SEARCH("Small",AE63)))</formula>
    </cfRule>
    <cfRule type="containsText" dxfId="925" priority="1294" operator="containsText" text="Mid">
      <formula>NOT(ISERROR(SEARCH("Mid",AE63)))</formula>
    </cfRule>
    <cfRule type="containsText" dxfId="924" priority="1295" operator="containsText" text="Large">
      <formula>NOT(ISERROR(SEARCH("Large",AE63)))</formula>
    </cfRule>
  </conditionalFormatting>
  <conditionalFormatting sqref="AE63">
    <cfRule type="containsText" dxfId="923" priority="1290" operator="containsText" text="Small">
      <formula>NOT(ISERROR(SEARCH("Small",AE63)))</formula>
    </cfRule>
    <cfRule type="containsText" dxfId="922" priority="1291" operator="containsText" text="Mid">
      <formula>NOT(ISERROR(SEARCH("Mid",AE63)))</formula>
    </cfRule>
    <cfRule type="containsText" dxfId="921" priority="1292" operator="containsText" text="Large">
      <formula>NOT(ISERROR(SEARCH("Large",AE63)))</formula>
    </cfRule>
  </conditionalFormatting>
  <conditionalFormatting sqref="AE63">
    <cfRule type="containsText" dxfId="920" priority="1287" operator="containsText" text="Small">
      <formula>NOT(ISERROR(SEARCH("Small",AE63)))</formula>
    </cfRule>
    <cfRule type="containsText" dxfId="919" priority="1288" operator="containsText" text="Mid">
      <formula>NOT(ISERROR(SEARCH("Mid",AE63)))</formula>
    </cfRule>
    <cfRule type="containsText" dxfId="918" priority="1289" operator="containsText" text="Large">
      <formula>NOT(ISERROR(SEARCH("Large",AE63)))</formula>
    </cfRule>
  </conditionalFormatting>
  <conditionalFormatting sqref="AE63">
    <cfRule type="containsText" dxfId="917" priority="1284" operator="containsText" text="Small">
      <formula>NOT(ISERROR(SEARCH("Small",AE63)))</formula>
    </cfRule>
    <cfRule type="containsText" dxfId="916" priority="1285" operator="containsText" text="Mid">
      <formula>NOT(ISERROR(SEARCH("Mid",AE63)))</formula>
    </cfRule>
    <cfRule type="containsText" dxfId="915" priority="1286" operator="containsText" text="Large">
      <formula>NOT(ISERROR(SEARCH("Large",AE63)))</formula>
    </cfRule>
  </conditionalFormatting>
  <conditionalFormatting sqref="AE63">
    <cfRule type="containsText" dxfId="914" priority="1281" operator="containsText" text="Small">
      <formula>NOT(ISERROR(SEARCH("Small",AE63)))</formula>
    </cfRule>
    <cfRule type="containsText" dxfId="913" priority="1282" operator="containsText" text="Mid">
      <formula>NOT(ISERROR(SEARCH("Mid",AE63)))</formula>
    </cfRule>
    <cfRule type="containsText" dxfId="912" priority="1283" operator="containsText" text="Large">
      <formula>NOT(ISERROR(SEARCH("Large",AE63)))</formula>
    </cfRule>
  </conditionalFormatting>
  <conditionalFormatting sqref="AE63">
    <cfRule type="containsText" dxfId="911" priority="1278" operator="containsText" text="Small">
      <formula>NOT(ISERROR(SEARCH("Small",AE63)))</formula>
    </cfRule>
    <cfRule type="containsText" dxfId="910" priority="1279" operator="containsText" text="Mid">
      <formula>NOT(ISERROR(SEARCH("Mid",AE63)))</formula>
    </cfRule>
    <cfRule type="containsText" dxfId="909" priority="1280" operator="containsText" text="Large">
      <formula>NOT(ISERROR(SEARCH("Large",AE63)))</formula>
    </cfRule>
  </conditionalFormatting>
  <conditionalFormatting sqref="AE63">
    <cfRule type="containsText" dxfId="908" priority="1275" operator="containsText" text="Small">
      <formula>NOT(ISERROR(SEARCH("Small",AE63)))</formula>
    </cfRule>
    <cfRule type="containsText" dxfId="907" priority="1276" operator="containsText" text="Mid">
      <formula>NOT(ISERROR(SEARCH("Mid",AE63)))</formula>
    </cfRule>
    <cfRule type="containsText" dxfId="906" priority="1277" operator="containsText" text="Large">
      <formula>NOT(ISERROR(SEARCH("Large",AE63)))</formula>
    </cfRule>
  </conditionalFormatting>
  <conditionalFormatting sqref="AE63">
    <cfRule type="containsText" dxfId="905" priority="1272" operator="containsText" text="Small">
      <formula>NOT(ISERROR(SEARCH("Small",AE63)))</formula>
    </cfRule>
    <cfRule type="containsText" dxfId="904" priority="1273" operator="containsText" text="Mid">
      <formula>NOT(ISERROR(SEARCH("Mid",AE63)))</formula>
    </cfRule>
    <cfRule type="containsText" dxfId="903" priority="1274" operator="containsText" text="Large">
      <formula>NOT(ISERROR(SEARCH("Large",AE63)))</formula>
    </cfRule>
  </conditionalFormatting>
  <conditionalFormatting sqref="AE63">
    <cfRule type="containsText" dxfId="902" priority="1269" operator="containsText" text="Small">
      <formula>NOT(ISERROR(SEARCH("Small",AE63)))</formula>
    </cfRule>
    <cfRule type="containsText" dxfId="901" priority="1270" operator="containsText" text="Mid">
      <formula>NOT(ISERROR(SEARCH("Mid",AE63)))</formula>
    </cfRule>
    <cfRule type="containsText" dxfId="900" priority="1271" operator="containsText" text="Large">
      <formula>NOT(ISERROR(SEARCH("Large",AE63)))</formula>
    </cfRule>
  </conditionalFormatting>
  <conditionalFormatting sqref="AE63">
    <cfRule type="containsText" dxfId="899" priority="1266" operator="containsText" text="Small">
      <formula>NOT(ISERROR(SEARCH("Small",AE63)))</formula>
    </cfRule>
    <cfRule type="containsText" dxfId="898" priority="1267" operator="containsText" text="Mid">
      <formula>NOT(ISERROR(SEARCH("Mid",AE63)))</formula>
    </cfRule>
    <cfRule type="containsText" dxfId="897" priority="1268" operator="containsText" text="Large">
      <formula>NOT(ISERROR(SEARCH("Large",AE63)))</formula>
    </cfRule>
  </conditionalFormatting>
  <conditionalFormatting sqref="AE63">
    <cfRule type="containsText" dxfId="896" priority="1263" operator="containsText" text="Small">
      <formula>NOT(ISERROR(SEARCH("Small",AE63)))</formula>
    </cfRule>
    <cfRule type="containsText" dxfId="895" priority="1264" operator="containsText" text="Mid">
      <formula>NOT(ISERROR(SEARCH("Mid",AE63)))</formula>
    </cfRule>
    <cfRule type="containsText" dxfId="894" priority="1265" operator="containsText" text="Large">
      <formula>NOT(ISERROR(SEARCH("Large",AE63)))</formula>
    </cfRule>
  </conditionalFormatting>
  <conditionalFormatting sqref="AE63">
    <cfRule type="containsText" dxfId="893" priority="1260" operator="containsText" text="Small">
      <formula>NOT(ISERROR(SEARCH("Small",AE63)))</formula>
    </cfRule>
    <cfRule type="containsText" dxfId="892" priority="1261" operator="containsText" text="Mid">
      <formula>NOT(ISERROR(SEARCH("Mid",AE63)))</formula>
    </cfRule>
    <cfRule type="containsText" dxfId="891" priority="1262" operator="containsText" text="Large">
      <formula>NOT(ISERROR(SEARCH("Large",AE63)))</formula>
    </cfRule>
  </conditionalFormatting>
  <conditionalFormatting sqref="AE63">
    <cfRule type="containsText" dxfId="890" priority="1257" operator="containsText" text="Small">
      <formula>NOT(ISERROR(SEARCH("Small",AE63)))</formula>
    </cfRule>
    <cfRule type="containsText" dxfId="889" priority="1258" operator="containsText" text="Mid">
      <formula>NOT(ISERROR(SEARCH("Mid",AE63)))</formula>
    </cfRule>
    <cfRule type="containsText" dxfId="888" priority="1259" operator="containsText" text="Large">
      <formula>NOT(ISERROR(SEARCH("Large",AE63)))</formula>
    </cfRule>
  </conditionalFormatting>
  <conditionalFormatting sqref="AE63">
    <cfRule type="containsText" dxfId="887" priority="1254" operator="containsText" text="Small">
      <formula>NOT(ISERROR(SEARCH("Small",AE63)))</formula>
    </cfRule>
    <cfRule type="containsText" dxfId="886" priority="1255" operator="containsText" text="Mid">
      <formula>NOT(ISERROR(SEARCH("Mid",AE63)))</formula>
    </cfRule>
    <cfRule type="containsText" dxfId="885" priority="1256" operator="containsText" text="Large">
      <formula>NOT(ISERROR(SEARCH("Large",AE63)))</formula>
    </cfRule>
  </conditionalFormatting>
  <conditionalFormatting sqref="AE63">
    <cfRule type="containsText" dxfId="884" priority="1251" operator="containsText" text="Small">
      <formula>NOT(ISERROR(SEARCH("Small",AE63)))</formula>
    </cfRule>
    <cfRule type="containsText" dxfId="883" priority="1252" operator="containsText" text="Mid">
      <formula>NOT(ISERROR(SEARCH("Mid",AE63)))</formula>
    </cfRule>
    <cfRule type="containsText" dxfId="882" priority="1253" operator="containsText" text="Large">
      <formula>NOT(ISERROR(SEARCH("Large",AE63)))</formula>
    </cfRule>
  </conditionalFormatting>
  <conditionalFormatting sqref="AE63">
    <cfRule type="containsText" dxfId="881" priority="1248" operator="containsText" text="Small">
      <formula>NOT(ISERROR(SEARCH("Small",AE63)))</formula>
    </cfRule>
    <cfRule type="containsText" dxfId="880" priority="1249" operator="containsText" text="Mid">
      <formula>NOT(ISERROR(SEARCH("Mid",AE63)))</formula>
    </cfRule>
    <cfRule type="containsText" dxfId="879" priority="1250" operator="containsText" text="Large">
      <formula>NOT(ISERROR(SEARCH("Large",AE63)))</formula>
    </cfRule>
  </conditionalFormatting>
  <conditionalFormatting sqref="AE63">
    <cfRule type="containsText" dxfId="878" priority="1245" operator="containsText" text="Small">
      <formula>NOT(ISERROR(SEARCH("Small",AE63)))</formula>
    </cfRule>
    <cfRule type="containsText" dxfId="877" priority="1246" operator="containsText" text="Mid">
      <formula>NOT(ISERROR(SEARCH("Mid",AE63)))</formula>
    </cfRule>
    <cfRule type="containsText" dxfId="876" priority="1247" operator="containsText" text="Large">
      <formula>NOT(ISERROR(SEARCH("Large",AE63)))</formula>
    </cfRule>
  </conditionalFormatting>
  <conditionalFormatting sqref="AE63">
    <cfRule type="containsText" dxfId="875" priority="1242" operator="containsText" text="Small">
      <formula>NOT(ISERROR(SEARCH("Small",AE63)))</formula>
    </cfRule>
    <cfRule type="containsText" dxfId="874" priority="1243" operator="containsText" text="Mid">
      <formula>NOT(ISERROR(SEARCH("Mid",AE63)))</formula>
    </cfRule>
    <cfRule type="containsText" dxfId="873" priority="1244" operator="containsText" text="Large">
      <formula>NOT(ISERROR(SEARCH("Large",AE63)))</formula>
    </cfRule>
  </conditionalFormatting>
  <conditionalFormatting sqref="AE63">
    <cfRule type="containsText" dxfId="872" priority="1239" operator="containsText" text="Small">
      <formula>NOT(ISERROR(SEARCH("Small",AE63)))</formula>
    </cfRule>
    <cfRule type="containsText" dxfId="871" priority="1240" operator="containsText" text="Mid">
      <formula>NOT(ISERROR(SEARCH("Mid",AE63)))</formula>
    </cfRule>
    <cfRule type="containsText" dxfId="870" priority="1241" operator="containsText" text="Large">
      <formula>NOT(ISERROR(SEARCH("Large",AE63)))</formula>
    </cfRule>
  </conditionalFormatting>
  <conditionalFormatting sqref="AE63">
    <cfRule type="containsText" dxfId="869" priority="1236" operator="containsText" text="Small">
      <formula>NOT(ISERROR(SEARCH("Small",AE63)))</formula>
    </cfRule>
    <cfRule type="containsText" dxfId="868" priority="1237" operator="containsText" text="Mid">
      <formula>NOT(ISERROR(SEARCH("Mid",AE63)))</formula>
    </cfRule>
    <cfRule type="containsText" dxfId="867" priority="1238" operator="containsText" text="Large">
      <formula>NOT(ISERROR(SEARCH("Large",AE63)))</formula>
    </cfRule>
  </conditionalFormatting>
  <conditionalFormatting sqref="AE63">
    <cfRule type="containsText" dxfId="866" priority="1233" operator="containsText" text="Small">
      <formula>NOT(ISERROR(SEARCH("Small",AE63)))</formula>
    </cfRule>
    <cfRule type="containsText" dxfId="865" priority="1234" operator="containsText" text="Mid">
      <formula>NOT(ISERROR(SEARCH("Mid",AE63)))</formula>
    </cfRule>
    <cfRule type="containsText" dxfId="864" priority="1235" operator="containsText" text="Large">
      <formula>NOT(ISERROR(SEARCH("Large",AE63)))</formula>
    </cfRule>
  </conditionalFormatting>
  <conditionalFormatting sqref="AE63">
    <cfRule type="containsText" dxfId="863" priority="1230" operator="containsText" text="Small">
      <formula>NOT(ISERROR(SEARCH("Small",AE63)))</formula>
    </cfRule>
    <cfRule type="containsText" dxfId="862" priority="1231" operator="containsText" text="Mid">
      <formula>NOT(ISERROR(SEARCH("Mid",AE63)))</formula>
    </cfRule>
    <cfRule type="containsText" dxfId="861" priority="1232" operator="containsText" text="Large">
      <formula>NOT(ISERROR(SEARCH("Large",AE63)))</formula>
    </cfRule>
  </conditionalFormatting>
  <conditionalFormatting sqref="AE63">
    <cfRule type="containsText" dxfId="860" priority="1227" operator="containsText" text="Small">
      <formula>NOT(ISERROR(SEARCH("Small",AE63)))</formula>
    </cfRule>
    <cfRule type="containsText" dxfId="859" priority="1228" operator="containsText" text="Mid">
      <formula>NOT(ISERROR(SEARCH("Mid",AE63)))</formula>
    </cfRule>
    <cfRule type="containsText" dxfId="858" priority="1229" operator="containsText" text="Large">
      <formula>NOT(ISERROR(SEARCH("Large",AE63)))</formula>
    </cfRule>
  </conditionalFormatting>
  <conditionalFormatting sqref="AE63">
    <cfRule type="containsText" dxfId="857" priority="1224" operator="containsText" text="Small">
      <formula>NOT(ISERROR(SEARCH("Small",AE63)))</formula>
    </cfRule>
    <cfRule type="containsText" dxfId="856" priority="1225" operator="containsText" text="Mid">
      <formula>NOT(ISERROR(SEARCH("Mid",AE63)))</formula>
    </cfRule>
    <cfRule type="containsText" dxfId="855" priority="1226" operator="containsText" text="Large">
      <formula>NOT(ISERROR(SEARCH("Large",AE63)))</formula>
    </cfRule>
  </conditionalFormatting>
  <conditionalFormatting sqref="AE63">
    <cfRule type="containsText" dxfId="854" priority="1221" operator="containsText" text="Small">
      <formula>NOT(ISERROR(SEARCH("Small",AE63)))</formula>
    </cfRule>
    <cfRule type="containsText" dxfId="853" priority="1222" operator="containsText" text="Mid">
      <formula>NOT(ISERROR(SEARCH("Mid",AE63)))</formula>
    </cfRule>
    <cfRule type="containsText" dxfId="852" priority="1223" operator="containsText" text="Large">
      <formula>NOT(ISERROR(SEARCH("Large",AE63)))</formula>
    </cfRule>
  </conditionalFormatting>
  <conditionalFormatting sqref="AE63">
    <cfRule type="containsText" dxfId="851" priority="1218" operator="containsText" text="Small">
      <formula>NOT(ISERROR(SEARCH("Small",AE63)))</formula>
    </cfRule>
    <cfRule type="containsText" dxfId="850" priority="1219" operator="containsText" text="Mid">
      <formula>NOT(ISERROR(SEARCH("Mid",AE63)))</formula>
    </cfRule>
    <cfRule type="containsText" dxfId="849" priority="1220" operator="containsText" text="Large">
      <formula>NOT(ISERROR(SEARCH("Large",AE63)))</formula>
    </cfRule>
  </conditionalFormatting>
  <conditionalFormatting sqref="AE63">
    <cfRule type="containsText" dxfId="848" priority="1215" operator="containsText" text="Small">
      <formula>NOT(ISERROR(SEARCH("Small",AE63)))</formula>
    </cfRule>
    <cfRule type="containsText" dxfId="847" priority="1216" operator="containsText" text="Mid">
      <formula>NOT(ISERROR(SEARCH("Mid",AE63)))</formula>
    </cfRule>
    <cfRule type="containsText" dxfId="846" priority="1217" operator="containsText" text="Large">
      <formula>NOT(ISERROR(SEARCH("Large",AE63)))</formula>
    </cfRule>
  </conditionalFormatting>
  <conditionalFormatting sqref="AE21">
    <cfRule type="containsText" dxfId="845" priority="1214" operator="containsText" text="NA">
      <formula>NOT(ISERROR(SEARCH("NA",AE21)))</formula>
    </cfRule>
  </conditionalFormatting>
  <conditionalFormatting sqref="AH23 AH16:AH20">
    <cfRule type="cellIs" dxfId="844" priority="1213" operator="lessThan">
      <formula>0</formula>
    </cfRule>
  </conditionalFormatting>
  <conditionalFormatting sqref="AH23 AH16:AH20">
    <cfRule type="cellIs" dxfId="843" priority="1212" operator="greaterThan">
      <formula>0</formula>
    </cfRule>
  </conditionalFormatting>
  <conditionalFormatting sqref="AH23 AH16:AH20">
    <cfRule type="cellIs" dxfId="842" priority="1211" operator="greaterThan">
      <formula>0</formula>
    </cfRule>
  </conditionalFormatting>
  <conditionalFormatting sqref="AE22">
    <cfRule type="cellIs" dxfId="841" priority="1210" operator="equal">
      <formula>"""Large"""</formula>
    </cfRule>
  </conditionalFormatting>
  <conditionalFormatting sqref="AE21">
    <cfRule type="containsText" dxfId="840" priority="1209" operator="containsText" text="No Cap">
      <formula>NOT(ISERROR(SEARCH("No Cap",AE21)))</formula>
    </cfRule>
  </conditionalFormatting>
  <conditionalFormatting sqref="AE21">
    <cfRule type="containsText" dxfId="839" priority="1208" operator="containsText" text="No Cap">
      <formula>NOT(ISERROR(SEARCH("No Cap",AE21)))</formula>
    </cfRule>
  </conditionalFormatting>
  <conditionalFormatting sqref="AE21">
    <cfRule type="containsText" dxfId="838" priority="1205" operator="containsText" text="Small">
      <formula>NOT(ISERROR(SEARCH("Small",AE21)))</formula>
    </cfRule>
    <cfRule type="containsText" dxfId="837" priority="1206" operator="containsText" text="Mid">
      <formula>NOT(ISERROR(SEARCH("Mid",AE21)))</formula>
    </cfRule>
    <cfRule type="containsText" dxfId="836" priority="1207" operator="containsText" text="Large">
      <formula>NOT(ISERROR(SEARCH("Large",AE21)))</formula>
    </cfRule>
  </conditionalFormatting>
  <conditionalFormatting sqref="AE21">
    <cfRule type="containsText" dxfId="835" priority="1202" operator="containsText" text="Small">
      <formula>NOT(ISERROR(SEARCH("Small",AE21)))</formula>
    </cfRule>
    <cfRule type="containsText" dxfId="834" priority="1203" operator="containsText" text="Mid">
      <formula>NOT(ISERROR(SEARCH("Mid",AE21)))</formula>
    </cfRule>
    <cfRule type="containsText" dxfId="833" priority="1204" operator="containsText" text="Large">
      <formula>NOT(ISERROR(SEARCH("Large",AE21)))</formula>
    </cfRule>
  </conditionalFormatting>
  <conditionalFormatting sqref="AE21">
    <cfRule type="containsText" dxfId="832" priority="1199" operator="containsText" text="Small">
      <formula>NOT(ISERROR(SEARCH("Small",AE21)))</formula>
    </cfRule>
    <cfRule type="containsText" dxfId="831" priority="1200" operator="containsText" text="Mid">
      <formula>NOT(ISERROR(SEARCH("Mid",AE21)))</formula>
    </cfRule>
    <cfRule type="containsText" dxfId="830" priority="1201" operator="containsText" text="Large">
      <formula>NOT(ISERROR(SEARCH("Large",AE21)))</formula>
    </cfRule>
  </conditionalFormatting>
  <conditionalFormatting sqref="AE21">
    <cfRule type="containsText" dxfId="829" priority="1198" operator="containsText" text="NA">
      <formula>NOT(ISERROR(SEARCH("NA",AE21)))</formula>
    </cfRule>
  </conditionalFormatting>
  <conditionalFormatting sqref="AE21">
    <cfRule type="containsText" dxfId="828" priority="1195" operator="containsText" text="Small">
      <formula>NOT(ISERROR(SEARCH("Small",AE21)))</formula>
    </cfRule>
    <cfRule type="containsText" dxfId="827" priority="1196" operator="containsText" text="Mid">
      <formula>NOT(ISERROR(SEARCH("Mid",AE21)))</formula>
    </cfRule>
    <cfRule type="containsText" dxfId="826" priority="1197" operator="containsText" text="Large">
      <formula>NOT(ISERROR(SEARCH("Large",AE21)))</formula>
    </cfRule>
  </conditionalFormatting>
  <conditionalFormatting sqref="AE21">
    <cfRule type="containsText" dxfId="825" priority="1192" operator="containsText" text="Small">
      <formula>NOT(ISERROR(SEARCH("Small",AE21)))</formula>
    </cfRule>
    <cfRule type="containsText" dxfId="824" priority="1193" operator="containsText" text="Mid">
      <formula>NOT(ISERROR(SEARCH("Mid",AE21)))</formula>
    </cfRule>
    <cfRule type="containsText" dxfId="823" priority="1194" operator="containsText" text="Large">
      <formula>NOT(ISERROR(SEARCH("Large",AE21)))</formula>
    </cfRule>
  </conditionalFormatting>
  <conditionalFormatting sqref="AE21">
    <cfRule type="containsText" dxfId="822" priority="1189" operator="containsText" text="Small">
      <formula>NOT(ISERROR(SEARCH("Small",AE21)))</formula>
    </cfRule>
    <cfRule type="containsText" dxfId="821" priority="1190" operator="containsText" text="Mid">
      <formula>NOT(ISERROR(SEARCH("Mid",AE21)))</formula>
    </cfRule>
    <cfRule type="containsText" dxfId="820" priority="1191" operator="containsText" text="Large">
      <formula>NOT(ISERROR(SEARCH("Large",AE21)))</formula>
    </cfRule>
  </conditionalFormatting>
  <conditionalFormatting sqref="AE21">
    <cfRule type="containsText" dxfId="819" priority="1186" operator="containsText" text="Small">
      <formula>NOT(ISERROR(SEARCH("Small",AE21)))</formula>
    </cfRule>
    <cfRule type="containsText" dxfId="818" priority="1187" operator="containsText" text="Mid">
      <formula>NOT(ISERROR(SEARCH("Mid",AE21)))</formula>
    </cfRule>
    <cfRule type="containsText" dxfId="817" priority="1188" operator="containsText" text="Large">
      <formula>NOT(ISERROR(SEARCH("Large",AE21)))</formula>
    </cfRule>
  </conditionalFormatting>
  <conditionalFormatting sqref="AE21">
    <cfRule type="containsText" dxfId="816" priority="1183" operator="containsText" text="Small">
      <formula>NOT(ISERROR(SEARCH("Small",AE21)))</formula>
    </cfRule>
    <cfRule type="containsText" dxfId="815" priority="1184" operator="containsText" text="Mid">
      <formula>NOT(ISERROR(SEARCH("Mid",AE21)))</formula>
    </cfRule>
    <cfRule type="containsText" dxfId="814" priority="1185" operator="containsText" text="Large">
      <formula>NOT(ISERROR(SEARCH("Large",AE21)))</formula>
    </cfRule>
  </conditionalFormatting>
  <conditionalFormatting sqref="AE21">
    <cfRule type="containsText" dxfId="813" priority="1180" operator="containsText" text="Small">
      <formula>NOT(ISERROR(SEARCH("Small",AE21)))</formula>
    </cfRule>
    <cfRule type="containsText" dxfId="812" priority="1181" operator="containsText" text="Mid">
      <formula>NOT(ISERROR(SEARCH("Mid",AE21)))</formula>
    </cfRule>
    <cfRule type="containsText" dxfId="811" priority="1182" operator="containsText" text="Large">
      <formula>NOT(ISERROR(SEARCH("Large",AE21)))</formula>
    </cfRule>
  </conditionalFormatting>
  <conditionalFormatting sqref="AE21">
    <cfRule type="containsText" dxfId="810" priority="1177" operator="containsText" text="Small">
      <formula>NOT(ISERROR(SEARCH("Small",AE21)))</formula>
    </cfRule>
    <cfRule type="containsText" dxfId="809" priority="1178" operator="containsText" text="Mid">
      <formula>NOT(ISERROR(SEARCH("Mid",AE21)))</formula>
    </cfRule>
    <cfRule type="containsText" dxfId="808" priority="1179" operator="containsText" text="Large">
      <formula>NOT(ISERROR(SEARCH("Large",AE21)))</formula>
    </cfRule>
  </conditionalFormatting>
  <conditionalFormatting sqref="AE21">
    <cfRule type="containsText" dxfId="807" priority="1174" operator="containsText" text="Small">
      <formula>NOT(ISERROR(SEARCH("Small",AE21)))</formula>
    </cfRule>
    <cfRule type="containsText" dxfId="806" priority="1175" operator="containsText" text="Mid">
      <formula>NOT(ISERROR(SEARCH("Mid",AE21)))</formula>
    </cfRule>
    <cfRule type="containsText" dxfId="805" priority="1176" operator="containsText" text="Large">
      <formula>NOT(ISERROR(SEARCH("Large",AE21)))</formula>
    </cfRule>
  </conditionalFormatting>
  <conditionalFormatting sqref="AE21">
    <cfRule type="containsText" dxfId="804" priority="1171" operator="containsText" text="Small">
      <formula>NOT(ISERROR(SEARCH("Small",AE21)))</formula>
    </cfRule>
    <cfRule type="containsText" dxfId="803" priority="1172" operator="containsText" text="Mid">
      <formula>NOT(ISERROR(SEARCH("Mid",AE21)))</formula>
    </cfRule>
    <cfRule type="containsText" dxfId="802" priority="1173" operator="containsText" text="Large">
      <formula>NOT(ISERROR(SEARCH("Large",AE21)))</formula>
    </cfRule>
  </conditionalFormatting>
  <conditionalFormatting sqref="AE21">
    <cfRule type="containsText" dxfId="801" priority="1168" operator="containsText" text="Small">
      <formula>NOT(ISERROR(SEARCH("Small",AE21)))</formula>
    </cfRule>
    <cfRule type="containsText" dxfId="800" priority="1169" operator="containsText" text="Mid">
      <formula>NOT(ISERROR(SEARCH("Mid",AE21)))</formula>
    </cfRule>
    <cfRule type="containsText" dxfId="799" priority="1170" operator="containsText" text="Large">
      <formula>NOT(ISERROR(SEARCH("Large",AE21)))</formula>
    </cfRule>
  </conditionalFormatting>
  <conditionalFormatting sqref="AE21">
    <cfRule type="containsText" dxfId="798" priority="1165" operator="containsText" text="Small">
      <formula>NOT(ISERROR(SEARCH("Small",AE21)))</formula>
    </cfRule>
    <cfRule type="containsText" dxfId="797" priority="1166" operator="containsText" text="Mid">
      <formula>NOT(ISERROR(SEARCH("Mid",AE21)))</formula>
    </cfRule>
    <cfRule type="containsText" dxfId="796" priority="1167" operator="containsText" text="Large">
      <formula>NOT(ISERROR(SEARCH("Large",AE21)))</formula>
    </cfRule>
  </conditionalFormatting>
  <conditionalFormatting sqref="AE21">
    <cfRule type="containsText" dxfId="795" priority="1162" operator="containsText" text="Small">
      <formula>NOT(ISERROR(SEARCH("Small",AE21)))</formula>
    </cfRule>
    <cfRule type="containsText" dxfId="794" priority="1163" operator="containsText" text="Mid">
      <formula>NOT(ISERROR(SEARCH("Mid",AE21)))</formula>
    </cfRule>
    <cfRule type="containsText" dxfId="793" priority="1164" operator="containsText" text="Large">
      <formula>NOT(ISERROR(SEARCH("Large",AE21)))</formula>
    </cfRule>
  </conditionalFormatting>
  <conditionalFormatting sqref="AE21">
    <cfRule type="containsText" dxfId="792" priority="1159" operator="containsText" text="Small">
      <formula>NOT(ISERROR(SEARCH("Small",AE21)))</formula>
    </cfRule>
    <cfRule type="containsText" dxfId="791" priority="1160" operator="containsText" text="Mid">
      <formula>NOT(ISERROR(SEARCH("Mid",AE21)))</formula>
    </cfRule>
    <cfRule type="containsText" dxfId="790" priority="1161" operator="containsText" text="Large">
      <formula>NOT(ISERROR(SEARCH("Large",AE21)))</formula>
    </cfRule>
  </conditionalFormatting>
  <conditionalFormatting sqref="AE21">
    <cfRule type="containsText" dxfId="789" priority="1156" operator="containsText" text="Small">
      <formula>NOT(ISERROR(SEARCH("Small",AE21)))</formula>
    </cfRule>
    <cfRule type="containsText" dxfId="788" priority="1157" operator="containsText" text="Mid">
      <formula>NOT(ISERROR(SEARCH("Mid",AE21)))</formula>
    </cfRule>
    <cfRule type="containsText" dxfId="787" priority="1158" operator="containsText" text="Large">
      <formula>NOT(ISERROR(SEARCH("Large",AE21)))</formula>
    </cfRule>
  </conditionalFormatting>
  <conditionalFormatting sqref="AE21">
    <cfRule type="containsText" dxfId="786" priority="1153" operator="containsText" text="Small">
      <formula>NOT(ISERROR(SEARCH("Small",AE21)))</formula>
    </cfRule>
    <cfRule type="containsText" dxfId="785" priority="1154" operator="containsText" text="Mid">
      <formula>NOT(ISERROR(SEARCH("Mid",AE21)))</formula>
    </cfRule>
    <cfRule type="containsText" dxfId="784" priority="1155" operator="containsText" text="Large">
      <formula>NOT(ISERROR(SEARCH("Large",AE21)))</formula>
    </cfRule>
  </conditionalFormatting>
  <conditionalFormatting sqref="AE21">
    <cfRule type="containsText" dxfId="783" priority="1150" operator="containsText" text="Small">
      <formula>NOT(ISERROR(SEARCH("Small",AE21)))</formula>
    </cfRule>
    <cfRule type="containsText" dxfId="782" priority="1151" operator="containsText" text="Mid">
      <formula>NOT(ISERROR(SEARCH("Mid",AE21)))</formula>
    </cfRule>
    <cfRule type="containsText" dxfId="781" priority="1152" operator="containsText" text="Large">
      <formula>NOT(ISERROR(SEARCH("Large",AE21)))</formula>
    </cfRule>
  </conditionalFormatting>
  <conditionalFormatting sqref="AE21">
    <cfRule type="containsText" dxfId="780" priority="1147" operator="containsText" text="Small">
      <formula>NOT(ISERROR(SEARCH("Small",AE21)))</formula>
    </cfRule>
    <cfRule type="containsText" dxfId="779" priority="1148" operator="containsText" text="Mid">
      <formula>NOT(ISERROR(SEARCH("Mid",AE21)))</formula>
    </cfRule>
    <cfRule type="containsText" dxfId="778" priority="1149" operator="containsText" text="Large">
      <formula>NOT(ISERROR(SEARCH("Large",AE21)))</formula>
    </cfRule>
  </conditionalFormatting>
  <conditionalFormatting sqref="AE21">
    <cfRule type="containsText" dxfId="777" priority="1144" operator="containsText" text="Small">
      <formula>NOT(ISERROR(SEARCH("Small",AE21)))</formula>
    </cfRule>
    <cfRule type="containsText" dxfId="776" priority="1145" operator="containsText" text="Mid">
      <formula>NOT(ISERROR(SEARCH("Mid",AE21)))</formula>
    </cfRule>
    <cfRule type="containsText" dxfId="775" priority="1146" operator="containsText" text="Large">
      <formula>NOT(ISERROR(SEARCH("Large",AE21)))</formula>
    </cfRule>
  </conditionalFormatting>
  <conditionalFormatting sqref="AE21">
    <cfRule type="containsText" dxfId="774" priority="1141" operator="containsText" text="Small">
      <formula>NOT(ISERROR(SEARCH("Small",AE21)))</formula>
    </cfRule>
    <cfRule type="containsText" dxfId="773" priority="1142" operator="containsText" text="Mid">
      <formula>NOT(ISERROR(SEARCH("Mid",AE21)))</formula>
    </cfRule>
    <cfRule type="containsText" dxfId="772" priority="1143" operator="containsText" text="Large">
      <formula>NOT(ISERROR(SEARCH("Large",AE21)))</formula>
    </cfRule>
  </conditionalFormatting>
  <conditionalFormatting sqref="AE21">
    <cfRule type="containsText" dxfId="771" priority="1138" operator="containsText" text="Small">
      <formula>NOT(ISERROR(SEARCH("Small",AE21)))</formula>
    </cfRule>
    <cfRule type="containsText" dxfId="770" priority="1139" operator="containsText" text="Mid">
      <formula>NOT(ISERROR(SEARCH("Mid",AE21)))</formula>
    </cfRule>
    <cfRule type="containsText" dxfId="769" priority="1140" operator="containsText" text="Large">
      <formula>NOT(ISERROR(SEARCH("Large",AE21)))</formula>
    </cfRule>
  </conditionalFormatting>
  <conditionalFormatting sqref="AE21">
    <cfRule type="containsText" dxfId="768" priority="1135" operator="containsText" text="Small">
      <formula>NOT(ISERROR(SEARCH("Small",AE21)))</formula>
    </cfRule>
    <cfRule type="containsText" dxfId="767" priority="1136" operator="containsText" text="Mid">
      <formula>NOT(ISERROR(SEARCH("Mid",AE21)))</formula>
    </cfRule>
    <cfRule type="containsText" dxfId="766" priority="1137" operator="containsText" text="Large">
      <formula>NOT(ISERROR(SEARCH("Large",AE21)))</formula>
    </cfRule>
  </conditionalFormatting>
  <conditionalFormatting sqref="AE21">
    <cfRule type="containsText" dxfId="765" priority="1132" operator="containsText" text="Small">
      <formula>NOT(ISERROR(SEARCH("Small",AE21)))</formula>
    </cfRule>
    <cfRule type="containsText" dxfId="764" priority="1133" operator="containsText" text="Mid">
      <formula>NOT(ISERROR(SEARCH("Mid",AE21)))</formula>
    </cfRule>
    <cfRule type="containsText" dxfId="763" priority="1134" operator="containsText" text="Large">
      <formula>NOT(ISERROR(SEARCH("Large",AE21)))</formula>
    </cfRule>
  </conditionalFormatting>
  <conditionalFormatting sqref="AE21">
    <cfRule type="containsText" dxfId="762" priority="1129" operator="containsText" text="Small">
      <formula>NOT(ISERROR(SEARCH("Small",AE21)))</formula>
    </cfRule>
    <cfRule type="containsText" dxfId="761" priority="1130" operator="containsText" text="Mid">
      <formula>NOT(ISERROR(SEARCH("Mid",AE21)))</formula>
    </cfRule>
    <cfRule type="containsText" dxfId="760" priority="1131" operator="containsText" text="Large">
      <formula>NOT(ISERROR(SEARCH("Large",AE21)))</formula>
    </cfRule>
  </conditionalFormatting>
  <conditionalFormatting sqref="AE21">
    <cfRule type="containsText" dxfId="759" priority="1126" operator="containsText" text="Small">
      <formula>NOT(ISERROR(SEARCH("Small",AE21)))</formula>
    </cfRule>
    <cfRule type="containsText" dxfId="758" priority="1127" operator="containsText" text="Mid">
      <formula>NOT(ISERROR(SEARCH("Mid",AE21)))</formula>
    </cfRule>
    <cfRule type="containsText" dxfId="757" priority="1128" operator="containsText" text="Large">
      <formula>NOT(ISERROR(SEARCH("Large",AE21)))</formula>
    </cfRule>
  </conditionalFormatting>
  <conditionalFormatting sqref="AE21">
    <cfRule type="containsText" dxfId="756" priority="1123" operator="containsText" text="Small">
      <formula>NOT(ISERROR(SEARCH("Small",AE21)))</formula>
    </cfRule>
    <cfRule type="containsText" dxfId="755" priority="1124" operator="containsText" text="Mid">
      <formula>NOT(ISERROR(SEARCH("Mid",AE21)))</formula>
    </cfRule>
    <cfRule type="containsText" dxfId="754" priority="1125" operator="containsText" text="Large">
      <formula>NOT(ISERROR(SEARCH("Large",AE21)))</formula>
    </cfRule>
  </conditionalFormatting>
  <conditionalFormatting sqref="AE21">
    <cfRule type="containsText" dxfId="753" priority="1120" operator="containsText" text="Small">
      <formula>NOT(ISERROR(SEARCH("Small",AE21)))</formula>
    </cfRule>
    <cfRule type="containsText" dxfId="752" priority="1121" operator="containsText" text="Mid">
      <formula>NOT(ISERROR(SEARCH("Mid",AE21)))</formula>
    </cfRule>
    <cfRule type="containsText" dxfId="751" priority="1122" operator="containsText" text="Large">
      <formula>NOT(ISERROR(SEARCH("Large",AE21)))</formula>
    </cfRule>
  </conditionalFormatting>
  <conditionalFormatting sqref="AE21">
    <cfRule type="containsText" dxfId="750" priority="1117" operator="containsText" text="Small">
      <formula>NOT(ISERROR(SEARCH("Small",AE21)))</formula>
    </cfRule>
    <cfRule type="containsText" dxfId="749" priority="1118" operator="containsText" text="Mid">
      <formula>NOT(ISERROR(SEARCH("Mid",AE21)))</formula>
    </cfRule>
    <cfRule type="containsText" dxfId="748" priority="1119" operator="containsText" text="Large">
      <formula>NOT(ISERROR(SEARCH("Large",AE21)))</formula>
    </cfRule>
  </conditionalFormatting>
  <conditionalFormatting sqref="AE21">
    <cfRule type="containsText" dxfId="747" priority="1114" operator="containsText" text="Small">
      <formula>NOT(ISERROR(SEARCH("Small",AE21)))</formula>
    </cfRule>
    <cfRule type="containsText" dxfId="746" priority="1115" operator="containsText" text="Mid">
      <formula>NOT(ISERROR(SEARCH("Mid",AE21)))</formula>
    </cfRule>
    <cfRule type="containsText" dxfId="745" priority="1116" operator="containsText" text="Large">
      <formula>NOT(ISERROR(SEARCH("Large",AE21)))</formula>
    </cfRule>
  </conditionalFormatting>
  <conditionalFormatting sqref="AE21">
    <cfRule type="containsText" dxfId="744" priority="1111" operator="containsText" text="Small">
      <formula>NOT(ISERROR(SEARCH("Small",AE21)))</formula>
    </cfRule>
    <cfRule type="containsText" dxfId="743" priority="1112" operator="containsText" text="Mid">
      <formula>NOT(ISERROR(SEARCH("Mid",AE21)))</formula>
    </cfRule>
    <cfRule type="containsText" dxfId="742" priority="1113" operator="containsText" text="Large">
      <formula>NOT(ISERROR(SEARCH("Large",AE21)))</formula>
    </cfRule>
  </conditionalFormatting>
  <conditionalFormatting sqref="AE21">
    <cfRule type="containsText" dxfId="741" priority="1108" operator="containsText" text="Small">
      <formula>NOT(ISERROR(SEARCH("Small",AE21)))</formula>
    </cfRule>
    <cfRule type="containsText" dxfId="740" priority="1109" operator="containsText" text="Mid">
      <formula>NOT(ISERROR(SEARCH("Mid",AE21)))</formula>
    </cfRule>
    <cfRule type="containsText" dxfId="739" priority="1110" operator="containsText" text="Large">
      <formula>NOT(ISERROR(SEARCH("Large",AE21)))</formula>
    </cfRule>
  </conditionalFormatting>
  <conditionalFormatting sqref="AE21">
    <cfRule type="containsText" dxfId="738" priority="1105" operator="containsText" text="Small">
      <formula>NOT(ISERROR(SEARCH("Small",AE21)))</formula>
    </cfRule>
    <cfRule type="containsText" dxfId="737" priority="1106" operator="containsText" text="Mid">
      <formula>NOT(ISERROR(SEARCH("Mid",AE21)))</formula>
    </cfRule>
    <cfRule type="containsText" dxfId="736" priority="1107" operator="containsText" text="Large">
      <formula>NOT(ISERROR(SEARCH("Large",AE21)))</formula>
    </cfRule>
  </conditionalFormatting>
  <conditionalFormatting sqref="AE21">
    <cfRule type="containsText" dxfId="735" priority="1102" operator="containsText" text="Small">
      <formula>NOT(ISERROR(SEARCH("Small",AE21)))</formula>
    </cfRule>
    <cfRule type="containsText" dxfId="734" priority="1103" operator="containsText" text="Mid">
      <formula>NOT(ISERROR(SEARCH("Mid",AE21)))</formula>
    </cfRule>
    <cfRule type="containsText" dxfId="733" priority="1104" operator="containsText" text="Large">
      <formula>NOT(ISERROR(SEARCH("Large",AE21)))</formula>
    </cfRule>
  </conditionalFormatting>
  <conditionalFormatting sqref="AE21">
    <cfRule type="containsText" dxfId="732" priority="1099" operator="containsText" text="Small">
      <formula>NOT(ISERROR(SEARCH("Small",AE21)))</formula>
    </cfRule>
    <cfRule type="containsText" dxfId="731" priority="1100" operator="containsText" text="Mid">
      <formula>NOT(ISERROR(SEARCH("Mid",AE21)))</formula>
    </cfRule>
    <cfRule type="containsText" dxfId="730" priority="1101" operator="containsText" text="Large">
      <formula>NOT(ISERROR(SEARCH("Large",AE21)))</formula>
    </cfRule>
  </conditionalFormatting>
  <conditionalFormatting sqref="AE21">
    <cfRule type="containsText" dxfId="729" priority="1096" operator="containsText" text="Small">
      <formula>NOT(ISERROR(SEARCH("Small",AE21)))</formula>
    </cfRule>
    <cfRule type="containsText" dxfId="728" priority="1097" operator="containsText" text="Mid">
      <formula>NOT(ISERROR(SEARCH("Mid",AE21)))</formula>
    </cfRule>
    <cfRule type="containsText" dxfId="727" priority="1098" operator="containsText" text="Large">
      <formula>NOT(ISERROR(SEARCH("Large",AE21)))</formula>
    </cfRule>
  </conditionalFormatting>
  <conditionalFormatting sqref="AE21">
    <cfRule type="containsText" dxfId="726" priority="1093" operator="containsText" text="Small">
      <formula>NOT(ISERROR(SEARCH("Small",AE21)))</formula>
    </cfRule>
    <cfRule type="containsText" dxfId="725" priority="1094" operator="containsText" text="Mid">
      <formula>NOT(ISERROR(SEARCH("Mid",AE21)))</formula>
    </cfRule>
    <cfRule type="containsText" dxfId="724" priority="1095" operator="containsText" text="Large">
      <formula>NOT(ISERROR(SEARCH("Large",AE21)))</formula>
    </cfRule>
  </conditionalFormatting>
  <conditionalFormatting sqref="AE21">
    <cfRule type="containsText" dxfId="723" priority="1090" operator="containsText" text="Small">
      <formula>NOT(ISERROR(SEARCH("Small",AE21)))</formula>
    </cfRule>
    <cfRule type="containsText" dxfId="722" priority="1091" operator="containsText" text="Mid">
      <formula>NOT(ISERROR(SEARCH("Mid",AE21)))</formula>
    </cfRule>
    <cfRule type="containsText" dxfId="721" priority="1092" operator="containsText" text="Large">
      <formula>NOT(ISERROR(SEARCH("Large",AE21)))</formula>
    </cfRule>
  </conditionalFormatting>
  <conditionalFormatting sqref="AE21">
    <cfRule type="containsText" dxfId="720" priority="1087" operator="containsText" text="Small">
      <formula>NOT(ISERROR(SEARCH("Small",AE21)))</formula>
    </cfRule>
    <cfRule type="containsText" dxfId="719" priority="1088" operator="containsText" text="Mid">
      <formula>NOT(ISERROR(SEARCH("Mid",AE21)))</formula>
    </cfRule>
    <cfRule type="containsText" dxfId="718" priority="1089" operator="containsText" text="Large">
      <formula>NOT(ISERROR(SEARCH("Large",AE21)))</formula>
    </cfRule>
  </conditionalFormatting>
  <conditionalFormatting sqref="AE21">
    <cfRule type="containsText" dxfId="717" priority="1084" operator="containsText" text="Small">
      <formula>NOT(ISERROR(SEARCH("Small",AE21)))</formula>
    </cfRule>
    <cfRule type="containsText" dxfId="716" priority="1085" operator="containsText" text="Mid">
      <formula>NOT(ISERROR(SEARCH("Mid",AE21)))</formula>
    </cfRule>
    <cfRule type="containsText" dxfId="715" priority="1086" operator="containsText" text="Large">
      <formula>NOT(ISERROR(SEARCH("Large",AE21)))</formula>
    </cfRule>
  </conditionalFormatting>
  <conditionalFormatting sqref="AE21">
    <cfRule type="containsText" dxfId="714" priority="1081" operator="containsText" text="Small">
      <formula>NOT(ISERROR(SEARCH("Small",AE21)))</formula>
    </cfRule>
    <cfRule type="containsText" dxfId="713" priority="1082" operator="containsText" text="Mid">
      <formula>NOT(ISERROR(SEARCH("Mid",AE21)))</formula>
    </cfRule>
    <cfRule type="containsText" dxfId="712" priority="1083" operator="containsText" text="Large">
      <formula>NOT(ISERROR(SEARCH("Large",AE21)))</formula>
    </cfRule>
  </conditionalFormatting>
  <conditionalFormatting sqref="AE21">
    <cfRule type="containsText" dxfId="711" priority="1078" operator="containsText" text="Small">
      <formula>NOT(ISERROR(SEARCH("Small",AE21)))</formula>
    </cfRule>
    <cfRule type="containsText" dxfId="710" priority="1079" operator="containsText" text="Mid">
      <formula>NOT(ISERROR(SEARCH("Mid",AE21)))</formula>
    </cfRule>
    <cfRule type="containsText" dxfId="709" priority="1080" operator="containsText" text="Large">
      <formula>NOT(ISERROR(SEARCH("Large",AE21)))</formula>
    </cfRule>
  </conditionalFormatting>
  <conditionalFormatting sqref="AE21">
    <cfRule type="containsText" dxfId="708" priority="1075" operator="containsText" text="Small">
      <formula>NOT(ISERROR(SEARCH("Small",AE21)))</formula>
    </cfRule>
    <cfRule type="containsText" dxfId="707" priority="1076" operator="containsText" text="Mid">
      <formula>NOT(ISERROR(SEARCH("Mid",AE21)))</formula>
    </cfRule>
    <cfRule type="containsText" dxfId="706" priority="1077" operator="containsText" text="Large">
      <formula>NOT(ISERROR(SEARCH("Large",AE21)))</formula>
    </cfRule>
  </conditionalFormatting>
  <conditionalFormatting sqref="AE21">
    <cfRule type="containsText" dxfId="705" priority="1072" operator="containsText" text="Small">
      <formula>NOT(ISERROR(SEARCH("Small",AE21)))</formula>
    </cfRule>
    <cfRule type="containsText" dxfId="704" priority="1073" operator="containsText" text="Mid">
      <formula>NOT(ISERROR(SEARCH("Mid",AE21)))</formula>
    </cfRule>
    <cfRule type="containsText" dxfId="703" priority="1074" operator="containsText" text="Large">
      <formula>NOT(ISERROR(SEARCH("Large",AE21)))</formula>
    </cfRule>
  </conditionalFormatting>
  <conditionalFormatting sqref="AE21">
    <cfRule type="containsText" dxfId="702" priority="1069" operator="containsText" text="Small">
      <formula>NOT(ISERROR(SEARCH("Small",AE21)))</formula>
    </cfRule>
    <cfRule type="containsText" dxfId="701" priority="1070" operator="containsText" text="Mid">
      <formula>NOT(ISERROR(SEARCH("Mid",AE21)))</formula>
    </cfRule>
    <cfRule type="containsText" dxfId="700" priority="1071" operator="containsText" text="Large">
      <formula>NOT(ISERROR(SEARCH("Large",AE21)))</formula>
    </cfRule>
  </conditionalFormatting>
  <conditionalFormatting sqref="AE21">
    <cfRule type="containsText" dxfId="699" priority="1066" operator="containsText" text="Small">
      <formula>NOT(ISERROR(SEARCH("Small",AE21)))</formula>
    </cfRule>
    <cfRule type="containsText" dxfId="698" priority="1067" operator="containsText" text="Mid">
      <formula>NOT(ISERROR(SEARCH("Mid",AE21)))</formula>
    </cfRule>
    <cfRule type="containsText" dxfId="697" priority="1068" operator="containsText" text="Large">
      <formula>NOT(ISERROR(SEARCH("Large",AE21)))</formula>
    </cfRule>
  </conditionalFormatting>
  <conditionalFormatting sqref="AE21">
    <cfRule type="containsText" dxfId="696" priority="1063" operator="containsText" text="Small">
      <formula>NOT(ISERROR(SEARCH("Small",AE21)))</formula>
    </cfRule>
    <cfRule type="containsText" dxfId="695" priority="1064" operator="containsText" text="Mid">
      <formula>NOT(ISERROR(SEARCH("Mid",AE21)))</formula>
    </cfRule>
    <cfRule type="containsText" dxfId="694" priority="1065" operator="containsText" text="Large">
      <formula>NOT(ISERROR(SEARCH("Large",AE21)))</formula>
    </cfRule>
  </conditionalFormatting>
  <conditionalFormatting sqref="AE21">
    <cfRule type="containsText" dxfId="693" priority="1060" operator="containsText" text="Small">
      <formula>NOT(ISERROR(SEARCH("Small",AE21)))</formula>
    </cfRule>
    <cfRule type="containsText" dxfId="692" priority="1061" operator="containsText" text="Mid">
      <formula>NOT(ISERROR(SEARCH("Mid",AE21)))</formula>
    </cfRule>
    <cfRule type="containsText" dxfId="691" priority="1062" operator="containsText" text="Large">
      <formula>NOT(ISERROR(SEARCH("Large",AE21)))</formula>
    </cfRule>
  </conditionalFormatting>
  <conditionalFormatting sqref="AE21">
    <cfRule type="containsText" dxfId="690" priority="1057" operator="containsText" text="Small">
      <formula>NOT(ISERROR(SEARCH("Small",AE21)))</formula>
    </cfRule>
    <cfRule type="containsText" dxfId="689" priority="1058" operator="containsText" text="Mid">
      <formula>NOT(ISERROR(SEARCH("Mid",AE21)))</formula>
    </cfRule>
    <cfRule type="containsText" dxfId="688" priority="1059" operator="containsText" text="Large">
      <formula>NOT(ISERROR(SEARCH("Large",AE21)))</formula>
    </cfRule>
  </conditionalFormatting>
  <conditionalFormatting sqref="AE21">
    <cfRule type="containsText" dxfId="687" priority="1054" operator="containsText" text="Small">
      <formula>NOT(ISERROR(SEARCH("Small",AE21)))</formula>
    </cfRule>
    <cfRule type="containsText" dxfId="686" priority="1055" operator="containsText" text="Mid">
      <formula>NOT(ISERROR(SEARCH("Mid",AE21)))</formula>
    </cfRule>
    <cfRule type="containsText" dxfId="685" priority="1056" operator="containsText" text="Large">
      <formula>NOT(ISERROR(SEARCH("Large",AE21)))</formula>
    </cfRule>
  </conditionalFormatting>
  <conditionalFormatting sqref="AE21">
    <cfRule type="containsText" dxfId="684" priority="1051" operator="containsText" text="Small">
      <formula>NOT(ISERROR(SEARCH("Small",AE21)))</formula>
    </cfRule>
    <cfRule type="containsText" dxfId="683" priority="1052" operator="containsText" text="Mid">
      <formula>NOT(ISERROR(SEARCH("Mid",AE21)))</formula>
    </cfRule>
    <cfRule type="containsText" dxfId="682" priority="1053" operator="containsText" text="Large">
      <formula>NOT(ISERROR(SEARCH("Large",AE21)))</formula>
    </cfRule>
  </conditionalFormatting>
  <conditionalFormatting sqref="AE21">
    <cfRule type="containsText" dxfId="681" priority="1048" operator="containsText" text="Small">
      <formula>NOT(ISERROR(SEARCH("Small",AE21)))</formula>
    </cfRule>
    <cfRule type="containsText" dxfId="680" priority="1049" operator="containsText" text="Mid">
      <formula>NOT(ISERROR(SEARCH("Mid",AE21)))</formula>
    </cfRule>
    <cfRule type="containsText" dxfId="679" priority="1050" operator="containsText" text="Large">
      <formula>NOT(ISERROR(SEARCH("Large",AE21)))</formula>
    </cfRule>
  </conditionalFormatting>
  <conditionalFormatting sqref="AE21">
    <cfRule type="containsText" dxfId="678" priority="1045" operator="containsText" text="Small">
      <formula>NOT(ISERROR(SEARCH("Small",AE21)))</formula>
    </cfRule>
    <cfRule type="containsText" dxfId="677" priority="1046" operator="containsText" text="Mid">
      <formula>NOT(ISERROR(SEARCH("Mid",AE21)))</formula>
    </cfRule>
    <cfRule type="containsText" dxfId="676" priority="1047" operator="containsText" text="Large">
      <formula>NOT(ISERROR(SEARCH("Large",AE21)))</formula>
    </cfRule>
  </conditionalFormatting>
  <conditionalFormatting sqref="AE21">
    <cfRule type="containsText" dxfId="675" priority="1042" operator="containsText" text="Small">
      <formula>NOT(ISERROR(SEARCH("Small",AE21)))</formula>
    </cfRule>
    <cfRule type="containsText" dxfId="674" priority="1043" operator="containsText" text="Mid">
      <formula>NOT(ISERROR(SEARCH("Mid",AE21)))</formula>
    </cfRule>
    <cfRule type="containsText" dxfId="673" priority="1044" operator="containsText" text="Large">
      <formula>NOT(ISERROR(SEARCH("Large",AE21)))</formula>
    </cfRule>
  </conditionalFormatting>
  <conditionalFormatting sqref="AE21">
    <cfRule type="containsText" dxfId="672" priority="1039" operator="containsText" text="Small">
      <formula>NOT(ISERROR(SEARCH("Small",AE21)))</formula>
    </cfRule>
    <cfRule type="containsText" dxfId="671" priority="1040" operator="containsText" text="Mid">
      <formula>NOT(ISERROR(SEARCH("Mid",AE21)))</formula>
    </cfRule>
    <cfRule type="containsText" dxfId="670" priority="1041" operator="containsText" text="Large">
      <formula>NOT(ISERROR(SEARCH("Large",AE21)))</formula>
    </cfRule>
  </conditionalFormatting>
  <conditionalFormatting sqref="AE21">
    <cfRule type="containsText" dxfId="669" priority="1036" operator="containsText" text="Small">
      <formula>NOT(ISERROR(SEARCH("Small",AE21)))</formula>
    </cfRule>
    <cfRule type="containsText" dxfId="668" priority="1037" operator="containsText" text="Mid">
      <formula>NOT(ISERROR(SEARCH("Mid",AE21)))</formula>
    </cfRule>
    <cfRule type="containsText" dxfId="667" priority="1038" operator="containsText" text="Large">
      <formula>NOT(ISERROR(SEARCH("Large",AE21)))</formula>
    </cfRule>
  </conditionalFormatting>
  <conditionalFormatting sqref="AE21">
    <cfRule type="containsText" dxfId="666" priority="1033" operator="containsText" text="Small">
      <formula>NOT(ISERROR(SEARCH("Small",AE21)))</formula>
    </cfRule>
    <cfRule type="containsText" dxfId="665" priority="1034" operator="containsText" text="Mid">
      <formula>NOT(ISERROR(SEARCH("Mid",AE21)))</formula>
    </cfRule>
    <cfRule type="containsText" dxfId="664" priority="1035" operator="containsText" text="Large">
      <formula>NOT(ISERROR(SEARCH("Large",AE21)))</formula>
    </cfRule>
  </conditionalFormatting>
  <conditionalFormatting sqref="AE21">
    <cfRule type="containsText" dxfId="663" priority="1030" operator="containsText" text="Small">
      <formula>NOT(ISERROR(SEARCH("Small",AE21)))</formula>
    </cfRule>
    <cfRule type="containsText" dxfId="662" priority="1031" operator="containsText" text="Mid">
      <formula>NOT(ISERROR(SEARCH("Mid",AE21)))</formula>
    </cfRule>
    <cfRule type="containsText" dxfId="661" priority="1032" operator="containsText" text="Large">
      <formula>NOT(ISERROR(SEARCH("Large",AE21)))</formula>
    </cfRule>
  </conditionalFormatting>
  <conditionalFormatting sqref="AE21">
    <cfRule type="containsText" dxfId="660" priority="1027" operator="containsText" text="Small">
      <formula>NOT(ISERROR(SEARCH("Small",AE21)))</formula>
    </cfRule>
    <cfRule type="containsText" dxfId="659" priority="1028" operator="containsText" text="Mid">
      <formula>NOT(ISERROR(SEARCH("Mid",AE21)))</formula>
    </cfRule>
    <cfRule type="containsText" dxfId="658" priority="1029" operator="containsText" text="Large">
      <formula>NOT(ISERROR(SEARCH("Large",AE21)))</formula>
    </cfRule>
  </conditionalFormatting>
  <conditionalFormatting sqref="AE21">
    <cfRule type="containsText" dxfId="657" priority="1024" operator="containsText" text="Small">
      <formula>NOT(ISERROR(SEARCH("Small",AE21)))</formula>
    </cfRule>
    <cfRule type="containsText" dxfId="656" priority="1025" operator="containsText" text="Mid">
      <formula>NOT(ISERROR(SEARCH("Mid",AE21)))</formula>
    </cfRule>
    <cfRule type="containsText" dxfId="655" priority="1026" operator="containsText" text="Large">
      <formula>NOT(ISERROR(SEARCH("Large",AE21)))</formula>
    </cfRule>
  </conditionalFormatting>
  <conditionalFormatting sqref="Q63">
    <cfRule type="containsText" dxfId="654" priority="629" operator="containsText" text="Small">
      <formula>NOT(ISERROR(SEARCH("Small",Q63)))</formula>
    </cfRule>
    <cfRule type="containsText" dxfId="653" priority="630" operator="containsText" text="Mid">
      <formula>NOT(ISERROR(SEARCH("Mid",Q63)))</formula>
    </cfRule>
    <cfRule type="containsText" dxfId="652" priority="631" operator="containsText" text="Large">
      <formula>NOT(ISERROR(SEARCH("Large",Q63)))</formula>
    </cfRule>
  </conditionalFormatting>
  <conditionalFormatting sqref="Q63">
    <cfRule type="containsText" dxfId="651" priority="626" operator="containsText" text="Small">
      <formula>NOT(ISERROR(SEARCH("Small",Q63)))</formula>
    </cfRule>
    <cfRule type="containsText" dxfId="650" priority="627" operator="containsText" text="Mid">
      <formula>NOT(ISERROR(SEARCH("Mid",Q63)))</formula>
    </cfRule>
    <cfRule type="containsText" dxfId="649" priority="628" operator="containsText" text="Large">
      <formula>NOT(ISERROR(SEARCH("Large",Q63)))</formula>
    </cfRule>
  </conditionalFormatting>
  <conditionalFormatting sqref="Q63">
    <cfRule type="containsText" dxfId="648" priority="623" operator="containsText" text="Small">
      <formula>NOT(ISERROR(SEARCH("Small",Q63)))</formula>
    </cfRule>
    <cfRule type="containsText" dxfId="647" priority="624" operator="containsText" text="Mid">
      <formula>NOT(ISERROR(SEARCH("Mid",Q63)))</formula>
    </cfRule>
    <cfRule type="containsText" dxfId="646" priority="625" operator="containsText" text="Large">
      <formula>NOT(ISERROR(SEARCH("Large",Q63)))</formula>
    </cfRule>
  </conditionalFormatting>
  <conditionalFormatting sqref="Q63">
    <cfRule type="containsText" dxfId="645" priority="620" operator="containsText" text="Small">
      <formula>NOT(ISERROR(SEARCH("Small",Q63)))</formula>
    </cfRule>
    <cfRule type="containsText" dxfId="644" priority="621" operator="containsText" text="Mid">
      <formula>NOT(ISERROR(SEARCH("Mid",Q63)))</formula>
    </cfRule>
    <cfRule type="containsText" dxfId="643" priority="622" operator="containsText" text="Large">
      <formula>NOT(ISERROR(SEARCH("Large",Q63)))</formula>
    </cfRule>
  </conditionalFormatting>
  <conditionalFormatting sqref="Q63">
    <cfRule type="containsText" dxfId="642" priority="617" operator="containsText" text="Small">
      <formula>NOT(ISERROR(SEARCH("Small",Q63)))</formula>
    </cfRule>
    <cfRule type="containsText" dxfId="641" priority="618" operator="containsText" text="Mid">
      <formula>NOT(ISERROR(SEARCH("Mid",Q63)))</formula>
    </cfRule>
    <cfRule type="containsText" dxfId="640" priority="619" operator="containsText" text="Large">
      <formula>NOT(ISERROR(SEARCH("Large",Q63)))</formula>
    </cfRule>
  </conditionalFormatting>
  <conditionalFormatting sqref="Q63">
    <cfRule type="containsText" dxfId="639" priority="614" operator="containsText" text="Small">
      <formula>NOT(ISERROR(SEARCH("Small",Q63)))</formula>
    </cfRule>
    <cfRule type="containsText" dxfId="638" priority="615" operator="containsText" text="Mid">
      <formula>NOT(ISERROR(SEARCH("Mid",Q63)))</formula>
    </cfRule>
    <cfRule type="containsText" dxfId="637" priority="616" operator="containsText" text="Large">
      <formula>NOT(ISERROR(SEARCH("Large",Q63)))</formula>
    </cfRule>
  </conditionalFormatting>
  <conditionalFormatting sqref="Q63">
    <cfRule type="containsText" dxfId="636" priority="611" operator="containsText" text="Small">
      <formula>NOT(ISERROR(SEARCH("Small",Q63)))</formula>
    </cfRule>
    <cfRule type="containsText" dxfId="635" priority="612" operator="containsText" text="Mid">
      <formula>NOT(ISERROR(SEARCH("Mid",Q63)))</formula>
    </cfRule>
    <cfRule type="containsText" dxfId="634" priority="613" operator="containsText" text="Large">
      <formula>NOT(ISERROR(SEARCH("Large",Q63)))</formula>
    </cfRule>
  </conditionalFormatting>
  <conditionalFormatting sqref="Q63">
    <cfRule type="containsText" dxfId="633" priority="608" operator="containsText" text="Small">
      <formula>NOT(ISERROR(SEARCH("Small",Q63)))</formula>
    </cfRule>
    <cfRule type="containsText" dxfId="632" priority="609" operator="containsText" text="Mid">
      <formula>NOT(ISERROR(SEARCH("Mid",Q63)))</formula>
    </cfRule>
    <cfRule type="containsText" dxfId="631" priority="610" operator="containsText" text="Large">
      <formula>NOT(ISERROR(SEARCH("Large",Q63)))</formula>
    </cfRule>
  </conditionalFormatting>
  <conditionalFormatting sqref="Q63">
    <cfRule type="containsText" dxfId="630" priority="605" operator="containsText" text="Small">
      <formula>NOT(ISERROR(SEARCH("Small",Q63)))</formula>
    </cfRule>
    <cfRule type="containsText" dxfId="629" priority="606" operator="containsText" text="Mid">
      <formula>NOT(ISERROR(SEARCH("Mid",Q63)))</formula>
    </cfRule>
    <cfRule type="containsText" dxfId="628" priority="607" operator="containsText" text="Large">
      <formula>NOT(ISERROR(SEARCH("Large",Q63)))</formula>
    </cfRule>
  </conditionalFormatting>
  <conditionalFormatting sqref="Q63">
    <cfRule type="containsText" dxfId="627" priority="602" operator="containsText" text="Small">
      <formula>NOT(ISERROR(SEARCH("Small",Q63)))</formula>
    </cfRule>
    <cfRule type="containsText" dxfId="626" priority="603" operator="containsText" text="Mid">
      <formula>NOT(ISERROR(SEARCH("Mid",Q63)))</formula>
    </cfRule>
    <cfRule type="containsText" dxfId="625" priority="604" operator="containsText" text="Large">
      <formula>NOT(ISERROR(SEARCH("Large",Q63)))</formula>
    </cfRule>
  </conditionalFormatting>
  <conditionalFormatting sqref="Q63">
    <cfRule type="containsText" dxfId="624" priority="599" operator="containsText" text="Small">
      <formula>NOT(ISERROR(SEARCH("Small",Q63)))</formula>
    </cfRule>
    <cfRule type="containsText" dxfId="623" priority="600" operator="containsText" text="Mid">
      <formula>NOT(ISERROR(SEARCH("Mid",Q63)))</formula>
    </cfRule>
    <cfRule type="containsText" dxfId="622" priority="601" operator="containsText" text="Large">
      <formula>NOT(ISERROR(SEARCH("Large",Q63)))</formula>
    </cfRule>
  </conditionalFormatting>
  <conditionalFormatting sqref="Q63">
    <cfRule type="containsText" dxfId="621" priority="596" operator="containsText" text="Small">
      <formula>NOT(ISERROR(SEARCH("Small",Q63)))</formula>
    </cfRule>
    <cfRule type="containsText" dxfId="620" priority="597" operator="containsText" text="Mid">
      <formula>NOT(ISERROR(SEARCH("Mid",Q63)))</formula>
    </cfRule>
    <cfRule type="containsText" dxfId="619" priority="598" operator="containsText" text="Large">
      <formula>NOT(ISERROR(SEARCH("Large",Q63)))</formula>
    </cfRule>
  </conditionalFormatting>
  <conditionalFormatting sqref="Q63">
    <cfRule type="containsText" dxfId="618" priority="593" operator="containsText" text="Small">
      <formula>NOT(ISERROR(SEARCH("Small",Q63)))</formula>
    </cfRule>
    <cfRule type="containsText" dxfId="617" priority="594" operator="containsText" text="Mid">
      <formula>NOT(ISERROR(SEARCH("Mid",Q63)))</formula>
    </cfRule>
    <cfRule type="containsText" dxfId="616" priority="595" operator="containsText" text="Large">
      <formula>NOT(ISERROR(SEARCH("Large",Q63)))</formula>
    </cfRule>
  </conditionalFormatting>
  <conditionalFormatting sqref="Q63">
    <cfRule type="containsText" dxfId="615" priority="590" operator="containsText" text="Small">
      <formula>NOT(ISERROR(SEARCH("Small",Q63)))</formula>
    </cfRule>
    <cfRule type="containsText" dxfId="614" priority="591" operator="containsText" text="Mid">
      <formula>NOT(ISERROR(SEARCH("Mid",Q63)))</formula>
    </cfRule>
    <cfRule type="containsText" dxfId="613" priority="592" operator="containsText" text="Large">
      <formula>NOT(ISERROR(SEARCH("Large",Q63)))</formula>
    </cfRule>
  </conditionalFormatting>
  <conditionalFormatting sqref="Q63">
    <cfRule type="containsText" dxfId="612" priority="587" operator="containsText" text="Small">
      <formula>NOT(ISERROR(SEARCH("Small",Q63)))</formula>
    </cfRule>
    <cfRule type="containsText" dxfId="611" priority="588" operator="containsText" text="Mid">
      <formula>NOT(ISERROR(SEARCH("Mid",Q63)))</formula>
    </cfRule>
    <cfRule type="containsText" dxfId="610" priority="589" operator="containsText" text="Large">
      <formula>NOT(ISERROR(SEARCH("Large",Q63)))</formula>
    </cfRule>
  </conditionalFormatting>
  <conditionalFormatting sqref="Q63">
    <cfRule type="containsText" dxfId="609" priority="584" operator="containsText" text="Small">
      <formula>NOT(ISERROR(SEARCH("Small",Q63)))</formula>
    </cfRule>
    <cfRule type="containsText" dxfId="608" priority="585" operator="containsText" text="Mid">
      <formula>NOT(ISERROR(SEARCH("Mid",Q63)))</formula>
    </cfRule>
    <cfRule type="containsText" dxfId="607" priority="586" operator="containsText" text="Large">
      <formula>NOT(ISERROR(SEARCH("Large",Q63)))</formula>
    </cfRule>
  </conditionalFormatting>
  <conditionalFormatting sqref="Q63">
    <cfRule type="containsText" dxfId="606" priority="581" operator="containsText" text="Small">
      <formula>NOT(ISERROR(SEARCH("Small",Q63)))</formula>
    </cfRule>
    <cfRule type="containsText" dxfId="605" priority="582" operator="containsText" text="Mid">
      <formula>NOT(ISERROR(SEARCH("Mid",Q63)))</formula>
    </cfRule>
    <cfRule type="containsText" dxfId="604" priority="583" operator="containsText" text="Large">
      <formula>NOT(ISERROR(SEARCH("Large",Q63)))</formula>
    </cfRule>
  </conditionalFormatting>
  <conditionalFormatting sqref="Q63">
    <cfRule type="containsText" dxfId="603" priority="578" operator="containsText" text="Small">
      <formula>NOT(ISERROR(SEARCH("Small",Q63)))</formula>
    </cfRule>
    <cfRule type="containsText" dxfId="602" priority="579" operator="containsText" text="Mid">
      <formula>NOT(ISERROR(SEARCH("Mid",Q63)))</formula>
    </cfRule>
    <cfRule type="containsText" dxfId="601" priority="580" operator="containsText" text="Large">
      <formula>NOT(ISERROR(SEARCH("Large",Q63)))</formula>
    </cfRule>
  </conditionalFormatting>
  <conditionalFormatting sqref="Q63">
    <cfRule type="containsText" dxfId="600" priority="575" operator="containsText" text="Small">
      <formula>NOT(ISERROR(SEARCH("Small",Q63)))</formula>
    </cfRule>
    <cfRule type="containsText" dxfId="599" priority="576" operator="containsText" text="Mid">
      <formula>NOT(ISERROR(SEARCH("Mid",Q63)))</formula>
    </cfRule>
    <cfRule type="containsText" dxfId="598" priority="577" operator="containsText" text="Large">
      <formula>NOT(ISERROR(SEARCH("Large",Q63)))</formula>
    </cfRule>
  </conditionalFormatting>
  <conditionalFormatting sqref="T65 T58:T62">
    <cfRule type="cellIs" dxfId="597" priority="672" operator="lessThan">
      <formula>0</formula>
    </cfRule>
  </conditionalFormatting>
  <conditionalFormatting sqref="T65 T58:T62">
    <cfRule type="cellIs" dxfId="596" priority="671" operator="greaterThan">
      <formula>0</formula>
    </cfRule>
  </conditionalFormatting>
  <conditionalFormatting sqref="T65 T58:T62">
    <cfRule type="cellIs" dxfId="595" priority="670" operator="greaterThan">
      <formula>0</formula>
    </cfRule>
  </conditionalFormatting>
  <conditionalFormatting sqref="Q64">
    <cfRule type="cellIs" dxfId="594" priority="669" operator="equal">
      <formula>"""Large"""</formula>
    </cfRule>
  </conditionalFormatting>
  <conditionalFormatting sqref="Q63">
    <cfRule type="containsText" dxfId="593" priority="668" operator="containsText" text="NA">
      <formula>NOT(ISERROR(SEARCH("NA",Q63)))</formula>
    </cfRule>
  </conditionalFormatting>
  <conditionalFormatting sqref="Q63">
    <cfRule type="containsText" dxfId="592" priority="665" operator="containsText" text="Small">
      <formula>NOT(ISERROR(SEARCH("Small",Q63)))</formula>
    </cfRule>
    <cfRule type="containsText" dxfId="591" priority="666" operator="containsText" text="Mid">
      <formula>NOT(ISERROR(SEARCH("Mid",Q63)))</formula>
    </cfRule>
    <cfRule type="containsText" dxfId="590" priority="667" operator="containsText" text="Large">
      <formula>NOT(ISERROR(SEARCH("Large",Q63)))</formula>
    </cfRule>
  </conditionalFormatting>
  <conditionalFormatting sqref="Q63">
    <cfRule type="containsText" dxfId="589" priority="662" operator="containsText" text="Small">
      <formula>NOT(ISERROR(SEARCH("Small",Q63)))</formula>
    </cfRule>
    <cfRule type="containsText" dxfId="588" priority="663" operator="containsText" text="Mid">
      <formula>NOT(ISERROR(SEARCH("Mid",Q63)))</formula>
    </cfRule>
    <cfRule type="containsText" dxfId="587" priority="664" operator="containsText" text="Large">
      <formula>NOT(ISERROR(SEARCH("Large",Q63)))</formula>
    </cfRule>
  </conditionalFormatting>
  <conditionalFormatting sqref="Q63">
    <cfRule type="containsText" dxfId="586" priority="659" operator="containsText" text="Small">
      <formula>NOT(ISERROR(SEARCH("Small",Q63)))</formula>
    </cfRule>
    <cfRule type="containsText" dxfId="585" priority="660" operator="containsText" text="Mid">
      <formula>NOT(ISERROR(SEARCH("Mid",Q63)))</formula>
    </cfRule>
    <cfRule type="containsText" dxfId="584" priority="661" operator="containsText" text="Large">
      <formula>NOT(ISERROR(SEARCH("Large",Q63)))</formula>
    </cfRule>
  </conditionalFormatting>
  <conditionalFormatting sqref="Q63">
    <cfRule type="containsText" dxfId="583" priority="656" operator="containsText" text="Small">
      <formula>NOT(ISERROR(SEARCH("Small",Q63)))</formula>
    </cfRule>
    <cfRule type="containsText" dxfId="582" priority="657" operator="containsText" text="Mid">
      <formula>NOT(ISERROR(SEARCH("Mid",Q63)))</formula>
    </cfRule>
    <cfRule type="containsText" dxfId="581" priority="658" operator="containsText" text="Large">
      <formula>NOT(ISERROR(SEARCH("Large",Q63)))</formula>
    </cfRule>
  </conditionalFormatting>
  <conditionalFormatting sqref="Q63">
    <cfRule type="containsText" dxfId="580" priority="653" operator="containsText" text="Small">
      <formula>NOT(ISERROR(SEARCH("Small",Q63)))</formula>
    </cfRule>
    <cfRule type="containsText" dxfId="579" priority="654" operator="containsText" text="Mid">
      <formula>NOT(ISERROR(SEARCH("Mid",Q63)))</formula>
    </cfRule>
    <cfRule type="containsText" dxfId="578" priority="655" operator="containsText" text="Large">
      <formula>NOT(ISERROR(SEARCH("Large",Q63)))</formula>
    </cfRule>
  </conditionalFormatting>
  <conditionalFormatting sqref="Q63">
    <cfRule type="containsText" dxfId="577" priority="650" operator="containsText" text="Small">
      <formula>NOT(ISERROR(SEARCH("Small",Q63)))</formula>
    </cfRule>
    <cfRule type="containsText" dxfId="576" priority="651" operator="containsText" text="Mid">
      <formula>NOT(ISERROR(SEARCH("Mid",Q63)))</formula>
    </cfRule>
    <cfRule type="containsText" dxfId="575" priority="652" operator="containsText" text="Large">
      <formula>NOT(ISERROR(SEARCH("Large",Q63)))</formula>
    </cfRule>
  </conditionalFormatting>
  <conditionalFormatting sqref="Q63">
    <cfRule type="containsText" dxfId="574" priority="647" operator="containsText" text="Small">
      <formula>NOT(ISERROR(SEARCH("Small",Q63)))</formula>
    </cfRule>
    <cfRule type="containsText" dxfId="573" priority="648" operator="containsText" text="Mid">
      <formula>NOT(ISERROR(SEARCH("Mid",Q63)))</formula>
    </cfRule>
    <cfRule type="containsText" dxfId="572" priority="649" operator="containsText" text="Large">
      <formula>NOT(ISERROR(SEARCH("Large",Q63)))</formula>
    </cfRule>
  </conditionalFormatting>
  <conditionalFormatting sqref="Q63">
    <cfRule type="containsText" dxfId="571" priority="644" operator="containsText" text="Small">
      <formula>NOT(ISERROR(SEARCH("Small",Q63)))</formula>
    </cfRule>
    <cfRule type="containsText" dxfId="570" priority="645" operator="containsText" text="Mid">
      <formula>NOT(ISERROR(SEARCH("Mid",Q63)))</formula>
    </cfRule>
    <cfRule type="containsText" dxfId="569" priority="646" operator="containsText" text="Large">
      <formula>NOT(ISERROR(SEARCH("Large",Q63)))</formula>
    </cfRule>
  </conditionalFormatting>
  <conditionalFormatting sqref="Q63">
    <cfRule type="containsText" dxfId="568" priority="641" operator="containsText" text="Small">
      <formula>NOT(ISERROR(SEARCH("Small",Q63)))</formula>
    </cfRule>
    <cfRule type="containsText" dxfId="567" priority="642" operator="containsText" text="Mid">
      <formula>NOT(ISERROR(SEARCH("Mid",Q63)))</formula>
    </cfRule>
    <cfRule type="containsText" dxfId="566" priority="643" operator="containsText" text="Large">
      <formula>NOT(ISERROR(SEARCH("Large",Q63)))</formula>
    </cfRule>
  </conditionalFormatting>
  <conditionalFormatting sqref="Q63">
    <cfRule type="containsText" dxfId="565" priority="638" operator="containsText" text="Small">
      <formula>NOT(ISERROR(SEARCH("Small",Q63)))</formula>
    </cfRule>
    <cfRule type="containsText" dxfId="564" priority="639" operator="containsText" text="Mid">
      <formula>NOT(ISERROR(SEARCH("Mid",Q63)))</formula>
    </cfRule>
    <cfRule type="containsText" dxfId="563" priority="640" operator="containsText" text="Large">
      <formula>NOT(ISERROR(SEARCH("Large",Q63)))</formula>
    </cfRule>
  </conditionalFormatting>
  <conditionalFormatting sqref="Q63">
    <cfRule type="containsText" dxfId="562" priority="635" operator="containsText" text="Small">
      <formula>NOT(ISERROR(SEARCH("Small",Q63)))</formula>
    </cfRule>
    <cfRule type="containsText" dxfId="561" priority="636" operator="containsText" text="Mid">
      <formula>NOT(ISERROR(SEARCH("Mid",Q63)))</formula>
    </cfRule>
    <cfRule type="containsText" dxfId="560" priority="637" operator="containsText" text="Large">
      <formula>NOT(ISERROR(SEARCH("Large",Q63)))</formula>
    </cfRule>
  </conditionalFormatting>
  <conditionalFormatting sqref="Q63">
    <cfRule type="containsText" dxfId="559" priority="632" operator="containsText" text="Small">
      <formula>NOT(ISERROR(SEARCH("Small",Q63)))</formula>
    </cfRule>
    <cfRule type="containsText" dxfId="558" priority="633" operator="containsText" text="Mid">
      <formula>NOT(ISERROR(SEARCH("Mid",Q63)))</formula>
    </cfRule>
    <cfRule type="containsText" dxfId="557" priority="634" operator="containsText" text="Large">
      <formula>NOT(ISERROR(SEARCH("Large",Q63)))</formula>
    </cfRule>
  </conditionalFormatting>
  <conditionalFormatting sqref="F58:F62">
    <cfRule type="cellIs" dxfId="556" priority="574" operator="lessThan">
      <formula>0</formula>
    </cfRule>
  </conditionalFormatting>
  <conditionalFormatting sqref="F58:F62">
    <cfRule type="cellIs" dxfId="555" priority="573" operator="greaterThan">
      <formula>0</formula>
    </cfRule>
  </conditionalFormatting>
  <conditionalFormatting sqref="C64:C65">
    <cfRule type="cellIs" dxfId="554" priority="572" operator="equal">
      <formula>"""Large"""</formula>
    </cfRule>
  </conditionalFormatting>
  <conditionalFormatting sqref="C63">
    <cfRule type="containsText" dxfId="553" priority="571" operator="containsText" text="NA">
      <formula>NOT(ISERROR(SEARCH("NA",C63)))</formula>
    </cfRule>
  </conditionalFormatting>
  <conditionalFormatting sqref="C63">
    <cfRule type="containsText" dxfId="552" priority="568" operator="containsText" text="Small">
      <formula>NOT(ISERROR(SEARCH("Small",C63)))</formula>
    </cfRule>
    <cfRule type="containsText" dxfId="551" priority="569" operator="containsText" text="Mid">
      <formula>NOT(ISERROR(SEARCH("Mid",C63)))</formula>
    </cfRule>
    <cfRule type="containsText" dxfId="550" priority="570" operator="containsText" text="Large">
      <formula>NOT(ISERROR(SEARCH("Large",C63)))</formula>
    </cfRule>
  </conditionalFormatting>
  <conditionalFormatting sqref="M58:M62">
    <cfRule type="cellIs" dxfId="549" priority="567" operator="lessThan">
      <formula>0</formula>
    </cfRule>
  </conditionalFormatting>
  <conditionalFormatting sqref="M58:M62">
    <cfRule type="cellIs" dxfId="548" priority="566" operator="greaterThan">
      <formula>0</formula>
    </cfRule>
  </conditionalFormatting>
  <conditionalFormatting sqref="J64:J65">
    <cfRule type="cellIs" dxfId="547" priority="565" operator="equal">
      <formula>"""Large"""</formula>
    </cfRule>
  </conditionalFormatting>
  <conditionalFormatting sqref="J63">
    <cfRule type="containsText" dxfId="546" priority="564" operator="containsText" text="NA">
      <formula>NOT(ISERROR(SEARCH("NA",J63)))</formula>
    </cfRule>
  </conditionalFormatting>
  <conditionalFormatting sqref="J63">
    <cfRule type="containsText" dxfId="545" priority="561" operator="containsText" text="Small">
      <formula>NOT(ISERROR(SEARCH("Small",J63)))</formula>
    </cfRule>
    <cfRule type="containsText" dxfId="544" priority="562" operator="containsText" text="Mid">
      <formula>NOT(ISERROR(SEARCH("Mid",J63)))</formula>
    </cfRule>
    <cfRule type="containsText" dxfId="543" priority="563" operator="containsText" text="Large">
      <formula>NOT(ISERROR(SEARCH("Large",J63)))</formula>
    </cfRule>
  </conditionalFormatting>
  <conditionalFormatting sqref="AA30:AA34">
    <cfRule type="cellIs" dxfId="542" priority="560" operator="lessThan">
      <formula>0</formula>
    </cfRule>
  </conditionalFormatting>
  <conditionalFormatting sqref="AA30:AA34">
    <cfRule type="cellIs" dxfId="541" priority="559" operator="greaterThan">
      <formula>0</formula>
    </cfRule>
  </conditionalFormatting>
  <conditionalFormatting sqref="X36:X37">
    <cfRule type="cellIs" dxfId="540" priority="558" operator="equal">
      <formula>"""Large"""</formula>
    </cfRule>
  </conditionalFormatting>
  <conditionalFormatting sqref="X35">
    <cfRule type="containsText" dxfId="539" priority="557" operator="containsText" text="NA">
      <formula>NOT(ISERROR(SEARCH("NA",X35)))</formula>
    </cfRule>
  </conditionalFormatting>
  <conditionalFormatting sqref="X35">
    <cfRule type="containsText" dxfId="538" priority="554" operator="containsText" text="Small">
      <formula>NOT(ISERROR(SEARCH("Small",X35)))</formula>
    </cfRule>
    <cfRule type="containsText" dxfId="537" priority="555" operator="containsText" text="Mid">
      <formula>NOT(ISERROR(SEARCH("Mid",X35)))</formula>
    </cfRule>
    <cfRule type="containsText" dxfId="536" priority="556" operator="containsText" text="Large">
      <formula>NOT(ISERROR(SEARCH("Large",X35)))</formula>
    </cfRule>
  </conditionalFormatting>
  <conditionalFormatting sqref="AH30:AH34">
    <cfRule type="cellIs" dxfId="535" priority="553" operator="lessThan">
      <formula>0</formula>
    </cfRule>
  </conditionalFormatting>
  <conditionalFormatting sqref="AH30:AH34">
    <cfRule type="cellIs" dxfId="534" priority="552" operator="greaterThan">
      <formula>0</formula>
    </cfRule>
  </conditionalFormatting>
  <conditionalFormatting sqref="AE36:AE37">
    <cfRule type="cellIs" dxfId="533" priority="551" operator="equal">
      <formula>"""Large"""</formula>
    </cfRule>
  </conditionalFormatting>
  <conditionalFormatting sqref="AE35">
    <cfRule type="containsText" dxfId="532" priority="550" operator="containsText" text="NA">
      <formula>NOT(ISERROR(SEARCH("NA",AE35)))</formula>
    </cfRule>
  </conditionalFormatting>
  <conditionalFormatting sqref="AE35">
    <cfRule type="containsText" dxfId="531" priority="547" operator="containsText" text="Small">
      <formula>NOT(ISERROR(SEARCH("Small",AE35)))</formula>
    </cfRule>
    <cfRule type="containsText" dxfId="530" priority="548" operator="containsText" text="Mid">
      <formula>NOT(ISERROR(SEARCH("Mid",AE35)))</formula>
    </cfRule>
    <cfRule type="containsText" dxfId="529" priority="549" operator="containsText" text="Large">
      <formula>NOT(ISERROR(SEARCH("Large",AE35)))</formula>
    </cfRule>
  </conditionalFormatting>
  <conditionalFormatting sqref="T51 T44:T48">
    <cfRule type="cellIs" dxfId="528" priority="502" operator="lessThan">
      <formula>0</formula>
    </cfRule>
  </conditionalFormatting>
  <conditionalFormatting sqref="T51 T44:T48">
    <cfRule type="cellIs" dxfId="527" priority="501" operator="greaterThan">
      <formula>0</formula>
    </cfRule>
  </conditionalFormatting>
  <conditionalFormatting sqref="T51 T44:T48">
    <cfRule type="cellIs" dxfId="526" priority="500" operator="greaterThan">
      <formula>0</formula>
    </cfRule>
  </conditionalFormatting>
  <conditionalFormatting sqref="Q50:Q51">
    <cfRule type="cellIs" dxfId="525" priority="499" operator="equal">
      <formula>"""Large"""</formula>
    </cfRule>
  </conditionalFormatting>
  <conditionalFormatting sqref="Q49">
    <cfRule type="containsText" dxfId="524" priority="498" operator="containsText" text="NA">
      <formula>NOT(ISERROR(SEARCH("NA",Q49)))</formula>
    </cfRule>
  </conditionalFormatting>
  <conditionalFormatting sqref="Q49">
    <cfRule type="containsText" dxfId="523" priority="497" operator="containsText" text="No Cap">
      <formula>NOT(ISERROR(SEARCH("No Cap",Q49)))</formula>
    </cfRule>
  </conditionalFormatting>
  <conditionalFormatting sqref="Q49">
    <cfRule type="containsText" dxfId="522" priority="496" operator="containsText" text="No Cap">
      <formula>NOT(ISERROR(SEARCH("No Cap",Q49)))</formula>
    </cfRule>
  </conditionalFormatting>
  <conditionalFormatting sqref="Q49">
    <cfRule type="containsText" dxfId="521" priority="493" operator="containsText" text="Small">
      <formula>NOT(ISERROR(SEARCH("Small",Q49)))</formula>
    </cfRule>
    <cfRule type="containsText" dxfId="520" priority="494" operator="containsText" text="Mid">
      <formula>NOT(ISERROR(SEARCH("Mid",Q49)))</formula>
    </cfRule>
    <cfRule type="containsText" dxfId="519" priority="495" operator="containsText" text="Large">
      <formula>NOT(ISERROR(SEARCH("Large",Q49)))</formula>
    </cfRule>
  </conditionalFormatting>
  <conditionalFormatting sqref="Q49">
    <cfRule type="containsText" dxfId="518" priority="490" operator="containsText" text="Small">
      <formula>NOT(ISERROR(SEARCH("Small",Q49)))</formula>
    </cfRule>
    <cfRule type="containsText" dxfId="517" priority="491" operator="containsText" text="Mid">
      <formula>NOT(ISERROR(SEARCH("Mid",Q49)))</formula>
    </cfRule>
    <cfRule type="containsText" dxfId="516" priority="492" operator="containsText" text="Large">
      <formula>NOT(ISERROR(SEARCH("Large",Q49)))</formula>
    </cfRule>
  </conditionalFormatting>
  <conditionalFormatting sqref="Q49">
    <cfRule type="containsText" dxfId="515" priority="487" operator="containsText" text="Small">
      <formula>NOT(ISERROR(SEARCH("Small",Q49)))</formula>
    </cfRule>
    <cfRule type="containsText" dxfId="514" priority="488" operator="containsText" text="Mid">
      <formula>NOT(ISERROR(SEARCH("Mid",Q49)))</formula>
    </cfRule>
    <cfRule type="containsText" dxfId="513" priority="489" operator="containsText" text="Large">
      <formula>NOT(ISERROR(SEARCH("Large",Q49)))</formula>
    </cfRule>
  </conditionalFormatting>
  <conditionalFormatting sqref="Q49">
    <cfRule type="containsText" dxfId="512" priority="486" operator="containsText" text="No Cap">
      <formula>NOT(ISERROR(SEARCH("No Cap",Q49)))</formula>
    </cfRule>
  </conditionalFormatting>
  <conditionalFormatting sqref="Q49">
    <cfRule type="containsText" dxfId="511" priority="485" operator="containsText" text="No Cap">
      <formula>NOT(ISERROR(SEARCH("No Cap",Q49)))</formula>
    </cfRule>
  </conditionalFormatting>
  <conditionalFormatting sqref="Q49">
    <cfRule type="containsText" dxfId="510" priority="482" operator="containsText" text="Small">
      <formula>NOT(ISERROR(SEARCH("Small",Q49)))</formula>
    </cfRule>
    <cfRule type="containsText" dxfId="509" priority="483" operator="containsText" text="Mid">
      <formula>NOT(ISERROR(SEARCH("Mid",Q49)))</formula>
    </cfRule>
    <cfRule type="containsText" dxfId="508" priority="484" operator="containsText" text="Large">
      <formula>NOT(ISERROR(SEARCH("Large",Q49)))</formula>
    </cfRule>
  </conditionalFormatting>
  <conditionalFormatting sqref="Q49">
    <cfRule type="containsText" dxfId="507" priority="479" operator="containsText" text="Small">
      <formula>NOT(ISERROR(SEARCH("Small",Q49)))</formula>
    </cfRule>
    <cfRule type="containsText" dxfId="506" priority="480" operator="containsText" text="Mid">
      <formula>NOT(ISERROR(SEARCH("Mid",Q49)))</formula>
    </cfRule>
    <cfRule type="containsText" dxfId="505" priority="481" operator="containsText" text="Large">
      <formula>NOT(ISERROR(SEARCH("Large",Q49)))</formula>
    </cfRule>
  </conditionalFormatting>
  <conditionalFormatting sqref="Q49">
    <cfRule type="containsText" dxfId="504" priority="476" operator="containsText" text="Small">
      <formula>NOT(ISERROR(SEARCH("Small",Q49)))</formula>
    </cfRule>
    <cfRule type="containsText" dxfId="503" priority="477" operator="containsText" text="Mid">
      <formula>NOT(ISERROR(SEARCH("Mid",Q49)))</formula>
    </cfRule>
    <cfRule type="containsText" dxfId="502" priority="478" operator="containsText" text="Large">
      <formula>NOT(ISERROR(SEARCH("Large",Q49)))</formula>
    </cfRule>
  </conditionalFormatting>
  <conditionalFormatting sqref="Q49">
    <cfRule type="containsText" dxfId="501" priority="475" operator="containsText" text="No Cap">
      <formula>NOT(ISERROR(SEARCH("No Cap",Q49)))</formula>
    </cfRule>
  </conditionalFormatting>
  <conditionalFormatting sqref="Q49">
    <cfRule type="containsText" dxfId="500" priority="474" operator="containsText" text="No Cap">
      <formula>NOT(ISERROR(SEARCH("No Cap",Q49)))</formula>
    </cfRule>
  </conditionalFormatting>
  <conditionalFormatting sqref="Q49">
    <cfRule type="containsText" dxfId="499" priority="471" operator="containsText" text="Small">
      <formula>NOT(ISERROR(SEARCH("Small",Q49)))</formula>
    </cfRule>
    <cfRule type="containsText" dxfId="498" priority="472" operator="containsText" text="Mid">
      <formula>NOT(ISERROR(SEARCH("Mid",Q49)))</formula>
    </cfRule>
    <cfRule type="containsText" dxfId="497" priority="473" operator="containsText" text="Large">
      <formula>NOT(ISERROR(SEARCH("Large",Q49)))</formula>
    </cfRule>
  </conditionalFormatting>
  <conditionalFormatting sqref="Q49">
    <cfRule type="containsText" dxfId="496" priority="468" operator="containsText" text="Small">
      <formula>NOT(ISERROR(SEARCH("Small",Q49)))</formula>
    </cfRule>
    <cfRule type="containsText" dxfId="495" priority="469" operator="containsText" text="Mid">
      <formula>NOT(ISERROR(SEARCH("Mid",Q49)))</formula>
    </cfRule>
    <cfRule type="containsText" dxfId="494" priority="470" operator="containsText" text="Large">
      <formula>NOT(ISERROR(SEARCH("Large",Q49)))</formula>
    </cfRule>
  </conditionalFormatting>
  <conditionalFormatting sqref="Q49">
    <cfRule type="containsText" dxfId="493" priority="465" operator="containsText" text="Small">
      <formula>NOT(ISERROR(SEARCH("Small",Q49)))</formula>
    </cfRule>
    <cfRule type="containsText" dxfId="492" priority="466" operator="containsText" text="Mid">
      <formula>NOT(ISERROR(SEARCH("Mid",Q49)))</formula>
    </cfRule>
    <cfRule type="containsText" dxfId="491" priority="467" operator="containsText" text="Large">
      <formula>NOT(ISERROR(SEARCH("Large",Q49)))</formula>
    </cfRule>
  </conditionalFormatting>
  <conditionalFormatting sqref="Q49">
    <cfRule type="containsText" dxfId="490" priority="464" operator="containsText" text="No Cap">
      <formula>NOT(ISERROR(SEARCH("No Cap",Q49)))</formula>
    </cfRule>
  </conditionalFormatting>
  <conditionalFormatting sqref="Q49">
    <cfRule type="containsText" dxfId="489" priority="463" operator="containsText" text="No Cap">
      <formula>NOT(ISERROR(SEARCH("No Cap",Q49)))</formula>
    </cfRule>
  </conditionalFormatting>
  <conditionalFormatting sqref="Q49">
    <cfRule type="containsText" dxfId="488" priority="460" operator="containsText" text="Small">
      <formula>NOT(ISERROR(SEARCH("Small",Q49)))</formula>
    </cfRule>
    <cfRule type="containsText" dxfId="487" priority="461" operator="containsText" text="Mid">
      <formula>NOT(ISERROR(SEARCH("Mid",Q49)))</formula>
    </cfRule>
    <cfRule type="containsText" dxfId="486" priority="462" operator="containsText" text="Large">
      <formula>NOT(ISERROR(SEARCH("Large",Q49)))</formula>
    </cfRule>
  </conditionalFormatting>
  <conditionalFormatting sqref="Q49">
    <cfRule type="containsText" dxfId="485" priority="457" operator="containsText" text="Small">
      <formula>NOT(ISERROR(SEARCH("Small",Q49)))</formula>
    </cfRule>
    <cfRule type="containsText" dxfId="484" priority="458" operator="containsText" text="Mid">
      <formula>NOT(ISERROR(SEARCH("Mid",Q49)))</formula>
    </cfRule>
    <cfRule type="containsText" dxfId="483" priority="459" operator="containsText" text="Large">
      <formula>NOT(ISERROR(SEARCH("Large",Q49)))</formula>
    </cfRule>
  </conditionalFormatting>
  <conditionalFormatting sqref="Q49">
    <cfRule type="containsText" dxfId="482" priority="454" operator="containsText" text="Small">
      <formula>NOT(ISERROR(SEARCH("Small",Q49)))</formula>
    </cfRule>
    <cfRule type="containsText" dxfId="481" priority="455" operator="containsText" text="Mid">
      <formula>NOT(ISERROR(SEARCH("Mid",Q49)))</formula>
    </cfRule>
    <cfRule type="containsText" dxfId="480" priority="456" operator="containsText" text="Large">
      <formula>NOT(ISERROR(SEARCH("Large",Q49)))</formula>
    </cfRule>
  </conditionalFormatting>
  <conditionalFormatting sqref="Q49">
    <cfRule type="containsText" dxfId="479" priority="453" operator="containsText" text="NA">
      <formula>NOT(ISERROR(SEARCH("NA",Q49)))</formula>
    </cfRule>
  </conditionalFormatting>
  <conditionalFormatting sqref="Q49">
    <cfRule type="containsText" dxfId="478" priority="450" operator="containsText" text="Small">
      <formula>NOT(ISERROR(SEARCH("Small",Q49)))</formula>
    </cfRule>
    <cfRule type="containsText" dxfId="477" priority="451" operator="containsText" text="Mid">
      <formula>NOT(ISERROR(SEARCH("Mid",Q49)))</formula>
    </cfRule>
    <cfRule type="containsText" dxfId="476" priority="452" operator="containsText" text="Large">
      <formula>NOT(ISERROR(SEARCH("Large",Q49)))</formula>
    </cfRule>
  </conditionalFormatting>
  <conditionalFormatting sqref="Q49">
    <cfRule type="containsText" dxfId="475" priority="447" operator="containsText" text="Small">
      <formula>NOT(ISERROR(SEARCH("Small",Q49)))</formula>
    </cfRule>
    <cfRule type="containsText" dxfId="474" priority="448" operator="containsText" text="Mid">
      <formula>NOT(ISERROR(SEARCH("Mid",Q49)))</formula>
    </cfRule>
    <cfRule type="containsText" dxfId="473" priority="449" operator="containsText" text="Large">
      <formula>NOT(ISERROR(SEARCH("Large",Q49)))</formula>
    </cfRule>
  </conditionalFormatting>
  <conditionalFormatting sqref="Q49">
    <cfRule type="containsText" dxfId="472" priority="444" operator="containsText" text="Small">
      <formula>NOT(ISERROR(SEARCH("Small",Q49)))</formula>
    </cfRule>
    <cfRule type="containsText" dxfId="471" priority="445" operator="containsText" text="Mid">
      <formula>NOT(ISERROR(SEARCH("Mid",Q49)))</formula>
    </cfRule>
    <cfRule type="containsText" dxfId="470" priority="446" operator="containsText" text="Large">
      <formula>NOT(ISERROR(SEARCH("Large",Q49)))</formula>
    </cfRule>
  </conditionalFormatting>
  <conditionalFormatting sqref="Q49">
    <cfRule type="containsText" dxfId="469" priority="441" operator="containsText" text="Small">
      <formula>NOT(ISERROR(SEARCH("Small",Q49)))</formula>
    </cfRule>
    <cfRule type="containsText" dxfId="468" priority="442" operator="containsText" text="Mid">
      <formula>NOT(ISERROR(SEARCH("Mid",Q49)))</formula>
    </cfRule>
    <cfRule type="containsText" dxfId="467" priority="443" operator="containsText" text="Large">
      <formula>NOT(ISERROR(SEARCH("Large",Q49)))</formula>
    </cfRule>
  </conditionalFormatting>
  <conditionalFormatting sqref="Q49">
    <cfRule type="containsText" dxfId="466" priority="438" operator="containsText" text="Small">
      <formula>NOT(ISERROR(SEARCH("Small",Q49)))</formula>
    </cfRule>
    <cfRule type="containsText" dxfId="465" priority="439" operator="containsText" text="Mid">
      <formula>NOT(ISERROR(SEARCH("Mid",Q49)))</formula>
    </cfRule>
    <cfRule type="containsText" dxfId="464" priority="440" operator="containsText" text="Large">
      <formula>NOT(ISERROR(SEARCH("Large",Q49)))</formula>
    </cfRule>
  </conditionalFormatting>
  <conditionalFormatting sqref="Q49">
    <cfRule type="containsText" dxfId="463" priority="435" operator="containsText" text="Small">
      <formula>NOT(ISERROR(SEARCH("Small",Q49)))</formula>
    </cfRule>
    <cfRule type="containsText" dxfId="462" priority="436" operator="containsText" text="Mid">
      <formula>NOT(ISERROR(SEARCH("Mid",Q49)))</formula>
    </cfRule>
    <cfRule type="containsText" dxfId="461" priority="437" operator="containsText" text="Large">
      <formula>NOT(ISERROR(SEARCH("Large",Q49)))</formula>
    </cfRule>
  </conditionalFormatting>
  <conditionalFormatting sqref="Q49">
    <cfRule type="containsText" dxfId="460" priority="432" operator="containsText" text="Small">
      <formula>NOT(ISERROR(SEARCH("Small",Q49)))</formula>
    </cfRule>
    <cfRule type="containsText" dxfId="459" priority="433" operator="containsText" text="Mid">
      <formula>NOT(ISERROR(SEARCH("Mid",Q49)))</formula>
    </cfRule>
    <cfRule type="containsText" dxfId="458" priority="434" operator="containsText" text="Large">
      <formula>NOT(ISERROR(SEARCH("Large",Q49)))</formula>
    </cfRule>
  </conditionalFormatting>
  <conditionalFormatting sqref="Q49">
    <cfRule type="containsText" dxfId="457" priority="429" operator="containsText" text="Small">
      <formula>NOT(ISERROR(SEARCH("Small",Q49)))</formula>
    </cfRule>
    <cfRule type="containsText" dxfId="456" priority="430" operator="containsText" text="Mid">
      <formula>NOT(ISERROR(SEARCH("Mid",Q49)))</formula>
    </cfRule>
    <cfRule type="containsText" dxfId="455" priority="431" operator="containsText" text="Large">
      <formula>NOT(ISERROR(SEARCH("Large",Q49)))</formula>
    </cfRule>
  </conditionalFormatting>
  <conditionalFormatting sqref="Q49">
    <cfRule type="containsText" dxfId="454" priority="426" operator="containsText" text="Small">
      <formula>NOT(ISERROR(SEARCH("Small",Q49)))</formula>
    </cfRule>
    <cfRule type="containsText" dxfId="453" priority="427" operator="containsText" text="Mid">
      <formula>NOT(ISERROR(SEARCH("Mid",Q49)))</formula>
    </cfRule>
    <cfRule type="containsText" dxfId="452" priority="428" operator="containsText" text="Large">
      <formula>NOT(ISERROR(SEARCH("Large",Q49)))</formula>
    </cfRule>
  </conditionalFormatting>
  <conditionalFormatting sqref="Q49">
    <cfRule type="containsText" dxfId="451" priority="423" operator="containsText" text="Small">
      <formula>NOT(ISERROR(SEARCH("Small",Q49)))</formula>
    </cfRule>
    <cfRule type="containsText" dxfId="450" priority="424" operator="containsText" text="Mid">
      <formula>NOT(ISERROR(SEARCH("Mid",Q49)))</formula>
    </cfRule>
    <cfRule type="containsText" dxfId="449" priority="425" operator="containsText" text="Large">
      <formula>NOT(ISERROR(SEARCH("Large",Q49)))</formula>
    </cfRule>
  </conditionalFormatting>
  <conditionalFormatting sqref="Q49">
    <cfRule type="containsText" dxfId="448" priority="420" operator="containsText" text="Small">
      <formula>NOT(ISERROR(SEARCH("Small",Q49)))</formula>
    </cfRule>
    <cfRule type="containsText" dxfId="447" priority="421" operator="containsText" text="Mid">
      <formula>NOT(ISERROR(SEARCH("Mid",Q49)))</formula>
    </cfRule>
    <cfRule type="containsText" dxfId="446" priority="422" operator="containsText" text="Large">
      <formula>NOT(ISERROR(SEARCH("Large",Q49)))</formula>
    </cfRule>
  </conditionalFormatting>
  <conditionalFormatting sqref="Q49">
    <cfRule type="containsText" dxfId="445" priority="417" operator="containsText" text="Small">
      <formula>NOT(ISERROR(SEARCH("Small",Q49)))</formula>
    </cfRule>
    <cfRule type="containsText" dxfId="444" priority="418" operator="containsText" text="Mid">
      <formula>NOT(ISERROR(SEARCH("Mid",Q49)))</formula>
    </cfRule>
    <cfRule type="containsText" dxfId="443" priority="419" operator="containsText" text="Large">
      <formula>NOT(ISERROR(SEARCH("Large",Q49)))</formula>
    </cfRule>
  </conditionalFormatting>
  <conditionalFormatting sqref="Q49">
    <cfRule type="containsText" dxfId="442" priority="414" operator="containsText" text="Small">
      <formula>NOT(ISERROR(SEARCH("Small",Q49)))</formula>
    </cfRule>
    <cfRule type="containsText" dxfId="441" priority="415" operator="containsText" text="Mid">
      <formula>NOT(ISERROR(SEARCH("Mid",Q49)))</formula>
    </cfRule>
    <cfRule type="containsText" dxfId="440" priority="416" operator="containsText" text="Large">
      <formula>NOT(ISERROR(SEARCH("Large",Q49)))</formula>
    </cfRule>
  </conditionalFormatting>
  <conditionalFormatting sqref="Q49">
    <cfRule type="containsText" dxfId="439" priority="411" operator="containsText" text="Small">
      <formula>NOT(ISERROR(SEARCH("Small",Q49)))</formula>
    </cfRule>
    <cfRule type="containsText" dxfId="438" priority="412" operator="containsText" text="Mid">
      <formula>NOT(ISERROR(SEARCH("Mid",Q49)))</formula>
    </cfRule>
    <cfRule type="containsText" dxfId="437" priority="413" operator="containsText" text="Large">
      <formula>NOT(ISERROR(SEARCH("Large",Q49)))</formula>
    </cfRule>
  </conditionalFormatting>
  <conditionalFormatting sqref="Q49">
    <cfRule type="containsText" dxfId="436" priority="408" operator="containsText" text="Small">
      <formula>NOT(ISERROR(SEARCH("Small",Q49)))</formula>
    </cfRule>
    <cfRule type="containsText" dxfId="435" priority="409" operator="containsText" text="Mid">
      <formula>NOT(ISERROR(SEARCH("Mid",Q49)))</formula>
    </cfRule>
    <cfRule type="containsText" dxfId="434" priority="410" operator="containsText" text="Large">
      <formula>NOT(ISERROR(SEARCH("Large",Q49)))</formula>
    </cfRule>
  </conditionalFormatting>
  <conditionalFormatting sqref="Q49">
    <cfRule type="containsText" dxfId="433" priority="405" operator="containsText" text="Small">
      <formula>NOT(ISERROR(SEARCH("Small",Q49)))</formula>
    </cfRule>
    <cfRule type="containsText" dxfId="432" priority="406" operator="containsText" text="Mid">
      <formula>NOT(ISERROR(SEARCH("Mid",Q49)))</formula>
    </cfRule>
    <cfRule type="containsText" dxfId="431" priority="407" operator="containsText" text="Large">
      <formula>NOT(ISERROR(SEARCH("Large",Q49)))</formula>
    </cfRule>
  </conditionalFormatting>
  <conditionalFormatting sqref="Q49">
    <cfRule type="containsText" dxfId="430" priority="402" operator="containsText" text="Small">
      <formula>NOT(ISERROR(SEARCH("Small",Q49)))</formula>
    </cfRule>
    <cfRule type="containsText" dxfId="429" priority="403" operator="containsText" text="Mid">
      <formula>NOT(ISERROR(SEARCH("Mid",Q49)))</formula>
    </cfRule>
    <cfRule type="containsText" dxfId="428" priority="404" operator="containsText" text="Large">
      <formula>NOT(ISERROR(SEARCH("Large",Q49)))</formula>
    </cfRule>
  </conditionalFormatting>
  <conditionalFormatting sqref="Q49">
    <cfRule type="containsText" dxfId="427" priority="399" operator="containsText" text="Small">
      <formula>NOT(ISERROR(SEARCH("Small",Q49)))</formula>
    </cfRule>
    <cfRule type="containsText" dxfId="426" priority="400" operator="containsText" text="Mid">
      <formula>NOT(ISERROR(SEARCH("Mid",Q49)))</formula>
    </cfRule>
    <cfRule type="containsText" dxfId="425" priority="401" operator="containsText" text="Large">
      <formula>NOT(ISERROR(SEARCH("Large",Q49)))</formula>
    </cfRule>
  </conditionalFormatting>
  <conditionalFormatting sqref="Q49">
    <cfRule type="containsText" dxfId="424" priority="396" operator="containsText" text="Small">
      <formula>NOT(ISERROR(SEARCH("Small",Q49)))</formula>
    </cfRule>
    <cfRule type="containsText" dxfId="423" priority="397" operator="containsText" text="Mid">
      <formula>NOT(ISERROR(SEARCH("Mid",Q49)))</formula>
    </cfRule>
    <cfRule type="containsText" dxfId="422" priority="398" operator="containsText" text="Large">
      <formula>NOT(ISERROR(SEARCH("Large",Q49)))</formula>
    </cfRule>
  </conditionalFormatting>
  <conditionalFormatting sqref="Q49">
    <cfRule type="containsText" dxfId="421" priority="393" operator="containsText" text="Small">
      <formula>NOT(ISERROR(SEARCH("Small",Q49)))</formula>
    </cfRule>
    <cfRule type="containsText" dxfId="420" priority="394" operator="containsText" text="Mid">
      <formula>NOT(ISERROR(SEARCH("Mid",Q49)))</formula>
    </cfRule>
    <cfRule type="containsText" dxfId="419" priority="395" operator="containsText" text="Large">
      <formula>NOT(ISERROR(SEARCH("Large",Q49)))</formula>
    </cfRule>
  </conditionalFormatting>
  <conditionalFormatting sqref="Q49">
    <cfRule type="containsText" dxfId="418" priority="390" operator="containsText" text="Small">
      <formula>NOT(ISERROR(SEARCH("Small",Q49)))</formula>
    </cfRule>
    <cfRule type="containsText" dxfId="417" priority="391" operator="containsText" text="Mid">
      <formula>NOT(ISERROR(SEARCH("Mid",Q49)))</formula>
    </cfRule>
    <cfRule type="containsText" dxfId="416" priority="392" operator="containsText" text="Large">
      <formula>NOT(ISERROR(SEARCH("Large",Q49)))</formula>
    </cfRule>
  </conditionalFormatting>
  <conditionalFormatting sqref="Q49">
    <cfRule type="containsText" dxfId="415" priority="387" operator="containsText" text="Small">
      <formula>NOT(ISERROR(SEARCH("Small",Q49)))</formula>
    </cfRule>
    <cfRule type="containsText" dxfId="414" priority="388" operator="containsText" text="Mid">
      <formula>NOT(ISERROR(SEARCH("Mid",Q49)))</formula>
    </cfRule>
    <cfRule type="containsText" dxfId="413" priority="389" operator="containsText" text="Large">
      <formula>NOT(ISERROR(SEARCH("Large",Q49)))</formula>
    </cfRule>
  </conditionalFormatting>
  <conditionalFormatting sqref="Q49">
    <cfRule type="containsText" dxfId="412" priority="384" operator="containsText" text="Small">
      <formula>NOT(ISERROR(SEARCH("Small",Q49)))</formula>
    </cfRule>
    <cfRule type="containsText" dxfId="411" priority="385" operator="containsText" text="Mid">
      <formula>NOT(ISERROR(SEARCH("Mid",Q49)))</formula>
    </cfRule>
    <cfRule type="containsText" dxfId="410" priority="386" operator="containsText" text="Large">
      <formula>NOT(ISERROR(SEARCH("Large",Q49)))</formula>
    </cfRule>
  </conditionalFormatting>
  <conditionalFormatting sqref="Q49">
    <cfRule type="containsText" dxfId="409" priority="381" operator="containsText" text="Small">
      <formula>NOT(ISERROR(SEARCH("Small",Q49)))</formula>
    </cfRule>
    <cfRule type="containsText" dxfId="408" priority="382" operator="containsText" text="Mid">
      <formula>NOT(ISERROR(SEARCH("Mid",Q49)))</formula>
    </cfRule>
    <cfRule type="containsText" dxfId="407" priority="383" operator="containsText" text="Large">
      <formula>NOT(ISERROR(SEARCH("Large",Q49)))</formula>
    </cfRule>
  </conditionalFormatting>
  <conditionalFormatting sqref="Q49">
    <cfRule type="containsText" dxfId="406" priority="378" operator="containsText" text="Small">
      <formula>NOT(ISERROR(SEARCH("Small",Q49)))</formula>
    </cfRule>
    <cfRule type="containsText" dxfId="405" priority="379" operator="containsText" text="Mid">
      <formula>NOT(ISERROR(SEARCH("Mid",Q49)))</formula>
    </cfRule>
    <cfRule type="containsText" dxfId="404" priority="380" operator="containsText" text="Large">
      <formula>NOT(ISERROR(SEARCH("Large",Q49)))</formula>
    </cfRule>
  </conditionalFormatting>
  <conditionalFormatting sqref="Q49">
    <cfRule type="containsText" dxfId="403" priority="375" operator="containsText" text="Small">
      <formula>NOT(ISERROR(SEARCH("Small",Q49)))</formula>
    </cfRule>
    <cfRule type="containsText" dxfId="402" priority="376" operator="containsText" text="Mid">
      <formula>NOT(ISERROR(SEARCH("Mid",Q49)))</formula>
    </cfRule>
    <cfRule type="containsText" dxfId="401" priority="377" operator="containsText" text="Large">
      <formula>NOT(ISERROR(SEARCH("Large",Q49)))</formula>
    </cfRule>
  </conditionalFormatting>
  <conditionalFormatting sqref="Q49">
    <cfRule type="containsText" dxfId="400" priority="372" operator="containsText" text="Small">
      <formula>NOT(ISERROR(SEARCH("Small",Q49)))</formula>
    </cfRule>
    <cfRule type="containsText" dxfId="399" priority="373" operator="containsText" text="Mid">
      <formula>NOT(ISERROR(SEARCH("Mid",Q49)))</formula>
    </cfRule>
    <cfRule type="containsText" dxfId="398" priority="374" operator="containsText" text="Large">
      <formula>NOT(ISERROR(SEARCH("Large",Q49)))</formula>
    </cfRule>
  </conditionalFormatting>
  <conditionalFormatting sqref="Q49">
    <cfRule type="containsText" dxfId="397" priority="369" operator="containsText" text="Small">
      <formula>NOT(ISERROR(SEARCH("Small",Q49)))</formula>
    </cfRule>
    <cfRule type="containsText" dxfId="396" priority="370" operator="containsText" text="Mid">
      <formula>NOT(ISERROR(SEARCH("Mid",Q49)))</formula>
    </cfRule>
    <cfRule type="containsText" dxfId="395" priority="371" operator="containsText" text="Large">
      <formula>NOT(ISERROR(SEARCH("Large",Q49)))</formula>
    </cfRule>
  </conditionalFormatting>
  <conditionalFormatting sqref="Q49">
    <cfRule type="containsText" dxfId="394" priority="366" operator="containsText" text="Small">
      <formula>NOT(ISERROR(SEARCH("Small",Q49)))</formula>
    </cfRule>
    <cfRule type="containsText" dxfId="393" priority="367" operator="containsText" text="Mid">
      <formula>NOT(ISERROR(SEARCH("Mid",Q49)))</formula>
    </cfRule>
    <cfRule type="containsText" dxfId="392" priority="368" operator="containsText" text="Large">
      <formula>NOT(ISERROR(SEARCH("Large",Q49)))</formula>
    </cfRule>
  </conditionalFormatting>
  <conditionalFormatting sqref="Q49">
    <cfRule type="containsText" dxfId="391" priority="363" operator="containsText" text="Small">
      <formula>NOT(ISERROR(SEARCH("Small",Q49)))</formula>
    </cfRule>
    <cfRule type="containsText" dxfId="390" priority="364" operator="containsText" text="Mid">
      <formula>NOT(ISERROR(SEARCH("Mid",Q49)))</formula>
    </cfRule>
    <cfRule type="containsText" dxfId="389" priority="365" operator="containsText" text="Large">
      <formula>NOT(ISERROR(SEARCH("Large",Q49)))</formula>
    </cfRule>
  </conditionalFormatting>
  <conditionalFormatting sqref="Q49">
    <cfRule type="containsText" dxfId="388" priority="360" operator="containsText" text="Small">
      <formula>NOT(ISERROR(SEARCH("Small",Q49)))</formula>
    </cfRule>
    <cfRule type="containsText" dxfId="387" priority="361" operator="containsText" text="Mid">
      <formula>NOT(ISERROR(SEARCH("Mid",Q49)))</formula>
    </cfRule>
    <cfRule type="containsText" dxfId="386" priority="362" operator="containsText" text="Large">
      <formula>NOT(ISERROR(SEARCH("Large",Q49)))</formula>
    </cfRule>
  </conditionalFormatting>
  <conditionalFormatting sqref="Q49">
    <cfRule type="containsText" dxfId="385" priority="357" operator="containsText" text="Small">
      <formula>NOT(ISERROR(SEARCH("Small",Q49)))</formula>
    </cfRule>
    <cfRule type="containsText" dxfId="384" priority="358" operator="containsText" text="Mid">
      <formula>NOT(ISERROR(SEARCH("Mid",Q49)))</formula>
    </cfRule>
    <cfRule type="containsText" dxfId="383" priority="359" operator="containsText" text="Large">
      <formula>NOT(ISERROR(SEARCH("Large",Q49)))</formula>
    </cfRule>
  </conditionalFormatting>
  <conditionalFormatting sqref="Q49">
    <cfRule type="containsText" dxfId="382" priority="354" operator="containsText" text="Small">
      <formula>NOT(ISERROR(SEARCH("Small",Q49)))</formula>
    </cfRule>
    <cfRule type="containsText" dxfId="381" priority="355" operator="containsText" text="Mid">
      <formula>NOT(ISERROR(SEARCH("Mid",Q49)))</formula>
    </cfRule>
    <cfRule type="containsText" dxfId="380" priority="356" operator="containsText" text="Large">
      <formula>NOT(ISERROR(SEARCH("Large",Q49)))</formula>
    </cfRule>
  </conditionalFormatting>
  <conditionalFormatting sqref="Q49">
    <cfRule type="containsText" dxfId="379" priority="351" operator="containsText" text="Small">
      <formula>NOT(ISERROR(SEARCH("Small",Q49)))</formula>
    </cfRule>
    <cfRule type="containsText" dxfId="378" priority="352" operator="containsText" text="Mid">
      <formula>NOT(ISERROR(SEARCH("Mid",Q49)))</formula>
    </cfRule>
    <cfRule type="containsText" dxfId="377" priority="353" operator="containsText" text="Large">
      <formula>NOT(ISERROR(SEARCH("Large",Q49)))</formula>
    </cfRule>
  </conditionalFormatting>
  <conditionalFormatting sqref="Q49">
    <cfRule type="containsText" dxfId="376" priority="348" operator="containsText" text="Small">
      <formula>NOT(ISERROR(SEARCH("Small",Q49)))</formula>
    </cfRule>
    <cfRule type="containsText" dxfId="375" priority="349" operator="containsText" text="Mid">
      <formula>NOT(ISERROR(SEARCH("Mid",Q49)))</formula>
    </cfRule>
    <cfRule type="containsText" dxfId="374" priority="350" operator="containsText" text="Large">
      <formula>NOT(ISERROR(SEARCH("Large",Q49)))</formula>
    </cfRule>
  </conditionalFormatting>
  <conditionalFormatting sqref="Q49">
    <cfRule type="containsText" dxfId="373" priority="345" operator="containsText" text="Small">
      <formula>NOT(ISERROR(SEARCH("Small",Q49)))</formula>
    </cfRule>
    <cfRule type="containsText" dxfId="372" priority="346" operator="containsText" text="Mid">
      <formula>NOT(ISERROR(SEARCH("Mid",Q49)))</formula>
    </cfRule>
    <cfRule type="containsText" dxfId="371" priority="347" operator="containsText" text="Large">
      <formula>NOT(ISERROR(SEARCH("Large",Q49)))</formula>
    </cfRule>
  </conditionalFormatting>
  <conditionalFormatting sqref="Q49">
    <cfRule type="containsText" dxfId="370" priority="342" operator="containsText" text="Small">
      <formula>NOT(ISERROR(SEARCH("Small",Q49)))</formula>
    </cfRule>
    <cfRule type="containsText" dxfId="369" priority="343" operator="containsText" text="Mid">
      <formula>NOT(ISERROR(SEARCH("Mid",Q49)))</formula>
    </cfRule>
    <cfRule type="containsText" dxfId="368" priority="344" operator="containsText" text="Large">
      <formula>NOT(ISERROR(SEARCH("Large",Q49)))</formula>
    </cfRule>
  </conditionalFormatting>
  <conditionalFormatting sqref="Q49">
    <cfRule type="containsText" dxfId="367" priority="339" operator="containsText" text="Small">
      <formula>NOT(ISERROR(SEARCH("Small",Q49)))</formula>
    </cfRule>
    <cfRule type="containsText" dxfId="366" priority="340" operator="containsText" text="Mid">
      <formula>NOT(ISERROR(SEARCH("Mid",Q49)))</formula>
    </cfRule>
    <cfRule type="containsText" dxfId="365" priority="341" operator="containsText" text="Large">
      <formula>NOT(ISERROR(SEARCH("Large",Q49)))</formula>
    </cfRule>
  </conditionalFormatting>
  <conditionalFormatting sqref="Q49">
    <cfRule type="containsText" dxfId="364" priority="336" operator="containsText" text="Small">
      <formula>NOT(ISERROR(SEARCH("Small",Q49)))</formula>
    </cfRule>
    <cfRule type="containsText" dxfId="363" priority="337" operator="containsText" text="Mid">
      <formula>NOT(ISERROR(SEARCH("Mid",Q49)))</formula>
    </cfRule>
    <cfRule type="containsText" dxfId="362" priority="338" operator="containsText" text="Large">
      <formula>NOT(ISERROR(SEARCH("Large",Q49)))</formula>
    </cfRule>
  </conditionalFormatting>
  <conditionalFormatting sqref="Q49">
    <cfRule type="containsText" dxfId="361" priority="333" operator="containsText" text="Small">
      <formula>NOT(ISERROR(SEARCH("Small",Q49)))</formula>
    </cfRule>
    <cfRule type="containsText" dxfId="360" priority="334" operator="containsText" text="Mid">
      <formula>NOT(ISERROR(SEARCH("Mid",Q49)))</formula>
    </cfRule>
    <cfRule type="containsText" dxfId="359" priority="335" operator="containsText" text="Large">
      <formula>NOT(ISERROR(SEARCH("Large",Q49)))</formula>
    </cfRule>
  </conditionalFormatting>
  <conditionalFormatting sqref="Q49">
    <cfRule type="containsText" dxfId="358" priority="330" operator="containsText" text="Small">
      <formula>NOT(ISERROR(SEARCH("Small",Q49)))</formula>
    </cfRule>
    <cfRule type="containsText" dxfId="357" priority="331" operator="containsText" text="Mid">
      <formula>NOT(ISERROR(SEARCH("Mid",Q49)))</formula>
    </cfRule>
    <cfRule type="containsText" dxfId="356" priority="332" operator="containsText" text="Large">
      <formula>NOT(ISERROR(SEARCH("Large",Q49)))</formula>
    </cfRule>
  </conditionalFormatting>
  <conditionalFormatting sqref="Q49">
    <cfRule type="containsText" dxfId="355" priority="327" operator="containsText" text="Small">
      <formula>NOT(ISERROR(SEARCH("Small",Q49)))</formula>
    </cfRule>
    <cfRule type="containsText" dxfId="354" priority="328" operator="containsText" text="Mid">
      <formula>NOT(ISERROR(SEARCH("Mid",Q49)))</formula>
    </cfRule>
    <cfRule type="containsText" dxfId="353" priority="329" operator="containsText" text="Large">
      <formula>NOT(ISERROR(SEARCH("Large",Q49)))</formula>
    </cfRule>
  </conditionalFormatting>
  <conditionalFormatting sqref="Q49">
    <cfRule type="containsText" dxfId="352" priority="324" operator="containsText" text="Small">
      <formula>NOT(ISERROR(SEARCH("Small",Q49)))</formula>
    </cfRule>
    <cfRule type="containsText" dxfId="351" priority="325" operator="containsText" text="Mid">
      <formula>NOT(ISERROR(SEARCH("Mid",Q49)))</formula>
    </cfRule>
    <cfRule type="containsText" dxfId="350" priority="326" operator="containsText" text="Large">
      <formula>NOT(ISERROR(SEARCH("Large",Q49)))</formula>
    </cfRule>
  </conditionalFormatting>
  <conditionalFormatting sqref="Q49">
    <cfRule type="containsText" dxfId="349" priority="321" operator="containsText" text="Small">
      <formula>NOT(ISERROR(SEARCH("Small",Q49)))</formula>
    </cfRule>
    <cfRule type="containsText" dxfId="348" priority="322" operator="containsText" text="Mid">
      <formula>NOT(ISERROR(SEARCH("Mid",Q49)))</formula>
    </cfRule>
    <cfRule type="containsText" dxfId="347" priority="323" operator="containsText" text="Large">
      <formula>NOT(ISERROR(SEARCH("Large",Q49)))</formula>
    </cfRule>
  </conditionalFormatting>
  <conditionalFormatting sqref="Q49">
    <cfRule type="containsText" dxfId="346" priority="318" operator="containsText" text="Small">
      <formula>NOT(ISERROR(SEARCH("Small",Q49)))</formula>
    </cfRule>
    <cfRule type="containsText" dxfId="345" priority="319" operator="containsText" text="Mid">
      <formula>NOT(ISERROR(SEARCH("Mid",Q49)))</formula>
    </cfRule>
    <cfRule type="containsText" dxfId="344" priority="320" operator="containsText" text="Large">
      <formula>NOT(ISERROR(SEARCH("Large",Q49)))</formula>
    </cfRule>
  </conditionalFormatting>
  <conditionalFormatting sqref="Q49">
    <cfRule type="containsText" dxfId="343" priority="315" operator="containsText" text="Small">
      <formula>NOT(ISERROR(SEARCH("Small",Q49)))</formula>
    </cfRule>
    <cfRule type="containsText" dxfId="342" priority="316" operator="containsText" text="Mid">
      <formula>NOT(ISERROR(SEARCH("Mid",Q49)))</formula>
    </cfRule>
    <cfRule type="containsText" dxfId="341" priority="317" operator="containsText" text="Large">
      <formula>NOT(ISERROR(SEARCH("Large",Q49)))</formula>
    </cfRule>
  </conditionalFormatting>
  <conditionalFormatting sqref="Q49">
    <cfRule type="containsText" dxfId="340" priority="312" operator="containsText" text="Small">
      <formula>NOT(ISERROR(SEARCH("Small",Q49)))</formula>
    </cfRule>
    <cfRule type="containsText" dxfId="339" priority="313" operator="containsText" text="Mid">
      <formula>NOT(ISERROR(SEARCH("Mid",Q49)))</formula>
    </cfRule>
    <cfRule type="containsText" dxfId="338" priority="314" operator="containsText" text="Large">
      <formula>NOT(ISERROR(SEARCH("Large",Q49)))</formula>
    </cfRule>
  </conditionalFormatting>
  <conditionalFormatting sqref="Q49">
    <cfRule type="containsText" dxfId="337" priority="309" operator="containsText" text="Small">
      <formula>NOT(ISERROR(SEARCH("Small",Q49)))</formula>
    </cfRule>
    <cfRule type="containsText" dxfId="336" priority="310" operator="containsText" text="Mid">
      <formula>NOT(ISERROR(SEARCH("Mid",Q49)))</formula>
    </cfRule>
    <cfRule type="containsText" dxfId="335" priority="311" operator="containsText" text="Large">
      <formula>NOT(ISERROR(SEARCH("Large",Q49)))</formula>
    </cfRule>
  </conditionalFormatting>
  <conditionalFormatting sqref="Q49">
    <cfRule type="containsText" dxfId="334" priority="306" operator="containsText" text="Small">
      <formula>NOT(ISERROR(SEARCH("Small",Q49)))</formula>
    </cfRule>
    <cfRule type="containsText" dxfId="333" priority="307" operator="containsText" text="Mid">
      <formula>NOT(ISERROR(SEARCH("Mid",Q49)))</formula>
    </cfRule>
    <cfRule type="containsText" dxfId="332" priority="308" operator="containsText" text="Large">
      <formula>NOT(ISERROR(SEARCH("Large",Q49)))</formula>
    </cfRule>
  </conditionalFormatting>
  <conditionalFormatting sqref="Q49">
    <cfRule type="containsText" dxfId="331" priority="303" operator="containsText" text="Small">
      <formula>NOT(ISERROR(SEARCH("Small",Q49)))</formula>
    </cfRule>
    <cfRule type="containsText" dxfId="330" priority="304" operator="containsText" text="Mid">
      <formula>NOT(ISERROR(SEARCH("Mid",Q49)))</formula>
    </cfRule>
    <cfRule type="containsText" dxfId="329" priority="305" operator="containsText" text="Large">
      <formula>NOT(ISERROR(SEARCH("Large",Q49)))</formula>
    </cfRule>
  </conditionalFormatting>
  <conditionalFormatting sqref="Q49">
    <cfRule type="containsText" dxfId="328" priority="300" operator="containsText" text="Small">
      <formula>NOT(ISERROR(SEARCH("Small",Q49)))</formula>
    </cfRule>
    <cfRule type="containsText" dxfId="327" priority="301" operator="containsText" text="Mid">
      <formula>NOT(ISERROR(SEARCH("Mid",Q49)))</formula>
    </cfRule>
    <cfRule type="containsText" dxfId="326" priority="302" operator="containsText" text="Large">
      <formula>NOT(ISERROR(SEARCH("Large",Q49)))</formula>
    </cfRule>
  </conditionalFormatting>
  <conditionalFormatting sqref="Q49">
    <cfRule type="containsText" dxfId="325" priority="297" operator="containsText" text="Small">
      <formula>NOT(ISERROR(SEARCH("Small",Q49)))</formula>
    </cfRule>
    <cfRule type="containsText" dxfId="324" priority="298" operator="containsText" text="Mid">
      <formula>NOT(ISERROR(SEARCH("Mid",Q49)))</formula>
    </cfRule>
    <cfRule type="containsText" dxfId="323" priority="299" operator="containsText" text="Large">
      <formula>NOT(ISERROR(SEARCH("Large",Q49)))</formula>
    </cfRule>
  </conditionalFormatting>
  <conditionalFormatting sqref="Q49">
    <cfRule type="containsText" dxfId="322" priority="294" operator="containsText" text="Small">
      <formula>NOT(ISERROR(SEARCH("Small",Q49)))</formula>
    </cfRule>
    <cfRule type="containsText" dxfId="321" priority="295" operator="containsText" text="Mid">
      <formula>NOT(ISERROR(SEARCH("Mid",Q49)))</formula>
    </cfRule>
    <cfRule type="containsText" dxfId="320" priority="296" operator="containsText" text="Large">
      <formula>NOT(ISERROR(SEARCH("Large",Q49)))</formula>
    </cfRule>
  </conditionalFormatting>
  <conditionalFormatting sqref="Q49">
    <cfRule type="containsText" dxfId="319" priority="291" operator="containsText" text="Small">
      <formula>NOT(ISERROR(SEARCH("Small",Q49)))</formula>
    </cfRule>
    <cfRule type="containsText" dxfId="318" priority="292" operator="containsText" text="Mid">
      <formula>NOT(ISERROR(SEARCH("Mid",Q49)))</formula>
    </cfRule>
    <cfRule type="containsText" dxfId="317" priority="293" operator="containsText" text="Large">
      <formula>NOT(ISERROR(SEARCH("Large",Q49)))</formula>
    </cfRule>
  </conditionalFormatting>
  <conditionalFormatting sqref="Q49">
    <cfRule type="containsText" dxfId="316" priority="288" operator="containsText" text="Small">
      <formula>NOT(ISERROR(SEARCH("Small",Q49)))</formula>
    </cfRule>
    <cfRule type="containsText" dxfId="315" priority="289" operator="containsText" text="Mid">
      <formula>NOT(ISERROR(SEARCH("Mid",Q49)))</formula>
    </cfRule>
    <cfRule type="containsText" dxfId="314" priority="290" operator="containsText" text="Large">
      <formula>NOT(ISERROR(SEARCH("Large",Q49)))</formula>
    </cfRule>
  </conditionalFormatting>
  <conditionalFormatting sqref="Q49">
    <cfRule type="containsText" dxfId="313" priority="285" operator="containsText" text="Small">
      <formula>NOT(ISERROR(SEARCH("Small",Q49)))</formula>
    </cfRule>
    <cfRule type="containsText" dxfId="312" priority="286" operator="containsText" text="Mid">
      <formula>NOT(ISERROR(SEARCH("Mid",Q49)))</formula>
    </cfRule>
    <cfRule type="containsText" dxfId="311" priority="287" operator="containsText" text="Large">
      <formula>NOT(ISERROR(SEARCH("Large",Q49)))</formula>
    </cfRule>
  </conditionalFormatting>
  <conditionalFormatting sqref="Q49">
    <cfRule type="containsText" dxfId="310" priority="282" operator="containsText" text="Small">
      <formula>NOT(ISERROR(SEARCH("Small",Q49)))</formula>
    </cfRule>
    <cfRule type="containsText" dxfId="309" priority="283" operator="containsText" text="Mid">
      <formula>NOT(ISERROR(SEARCH("Mid",Q49)))</formula>
    </cfRule>
    <cfRule type="containsText" dxfId="308" priority="284" operator="containsText" text="Large">
      <formula>NOT(ISERROR(SEARCH("Large",Q49)))</formula>
    </cfRule>
  </conditionalFormatting>
  <conditionalFormatting sqref="Q49">
    <cfRule type="containsText" dxfId="307" priority="279" operator="containsText" text="Small">
      <formula>NOT(ISERROR(SEARCH("Small",Q49)))</formula>
    </cfRule>
    <cfRule type="containsText" dxfId="306" priority="280" operator="containsText" text="Mid">
      <formula>NOT(ISERROR(SEARCH("Mid",Q49)))</formula>
    </cfRule>
    <cfRule type="containsText" dxfId="305" priority="281" operator="containsText" text="Large">
      <formula>NOT(ISERROR(SEARCH("Large",Q49)))</formula>
    </cfRule>
  </conditionalFormatting>
  <conditionalFormatting sqref="Q49">
    <cfRule type="containsText" dxfId="304" priority="276" operator="containsText" text="Small">
      <formula>NOT(ISERROR(SEARCH("Small",Q49)))</formula>
    </cfRule>
    <cfRule type="containsText" dxfId="303" priority="277" operator="containsText" text="Mid">
      <formula>NOT(ISERROR(SEARCH("Mid",Q49)))</formula>
    </cfRule>
    <cfRule type="containsText" dxfId="302" priority="278" operator="containsText" text="Large">
      <formula>NOT(ISERROR(SEARCH("Large",Q49)))</formula>
    </cfRule>
  </conditionalFormatting>
  <conditionalFormatting sqref="Q49">
    <cfRule type="containsText" dxfId="301" priority="273" operator="containsText" text="Small">
      <formula>NOT(ISERROR(SEARCH("Small",Q49)))</formula>
    </cfRule>
    <cfRule type="containsText" dxfId="300" priority="274" operator="containsText" text="Mid">
      <formula>NOT(ISERROR(SEARCH("Mid",Q49)))</formula>
    </cfRule>
    <cfRule type="containsText" dxfId="299" priority="275" operator="containsText" text="Large">
      <formula>NOT(ISERROR(SEARCH("Large",Q49)))</formula>
    </cfRule>
  </conditionalFormatting>
  <conditionalFormatting sqref="Q49">
    <cfRule type="containsText" dxfId="298" priority="270" operator="containsText" text="Small">
      <formula>NOT(ISERROR(SEARCH("Small",Q49)))</formula>
    </cfRule>
    <cfRule type="containsText" dxfId="297" priority="271" operator="containsText" text="Mid">
      <formula>NOT(ISERROR(SEARCH("Mid",Q49)))</formula>
    </cfRule>
    <cfRule type="containsText" dxfId="296" priority="272" operator="containsText" text="Large">
      <formula>NOT(ISERROR(SEARCH("Large",Q49)))</formula>
    </cfRule>
  </conditionalFormatting>
  <conditionalFormatting sqref="Q49">
    <cfRule type="containsText" dxfId="295" priority="267" operator="containsText" text="Small">
      <formula>NOT(ISERROR(SEARCH("Small",Q49)))</formula>
    </cfRule>
    <cfRule type="containsText" dxfId="294" priority="268" operator="containsText" text="Mid">
      <formula>NOT(ISERROR(SEARCH("Mid",Q49)))</formula>
    </cfRule>
    <cfRule type="containsText" dxfId="293" priority="269" operator="containsText" text="Large">
      <formula>NOT(ISERROR(SEARCH("Large",Q49)))</formula>
    </cfRule>
  </conditionalFormatting>
  <conditionalFormatting sqref="Q49">
    <cfRule type="containsText" dxfId="292" priority="264" operator="containsText" text="Small">
      <formula>NOT(ISERROR(SEARCH("Small",Q49)))</formula>
    </cfRule>
    <cfRule type="containsText" dxfId="291" priority="265" operator="containsText" text="Mid">
      <formula>NOT(ISERROR(SEARCH("Mid",Q49)))</formula>
    </cfRule>
    <cfRule type="containsText" dxfId="290" priority="266" operator="containsText" text="Large">
      <formula>NOT(ISERROR(SEARCH("Large",Q49)))</formula>
    </cfRule>
  </conditionalFormatting>
  <conditionalFormatting sqref="Q49">
    <cfRule type="containsText" dxfId="289" priority="261" operator="containsText" text="Small">
      <formula>NOT(ISERROR(SEARCH("Small",Q49)))</formula>
    </cfRule>
    <cfRule type="containsText" dxfId="288" priority="262" operator="containsText" text="Mid">
      <formula>NOT(ISERROR(SEARCH("Mid",Q49)))</formula>
    </cfRule>
    <cfRule type="containsText" dxfId="287" priority="263" operator="containsText" text="Large">
      <formula>NOT(ISERROR(SEARCH("Large",Q49)))</formula>
    </cfRule>
  </conditionalFormatting>
  <conditionalFormatting sqref="Q49">
    <cfRule type="containsText" dxfId="286" priority="258" operator="containsText" text="Small">
      <formula>NOT(ISERROR(SEARCH("Small",Q49)))</formula>
    </cfRule>
    <cfRule type="containsText" dxfId="285" priority="259" operator="containsText" text="Mid">
      <formula>NOT(ISERROR(SEARCH("Mid",Q49)))</formula>
    </cfRule>
    <cfRule type="containsText" dxfId="284" priority="260" operator="containsText" text="Large">
      <formula>NOT(ISERROR(SEARCH("Large",Q49)))</formula>
    </cfRule>
  </conditionalFormatting>
  <conditionalFormatting sqref="Q49">
    <cfRule type="containsText" dxfId="283" priority="255" operator="containsText" text="Small">
      <formula>NOT(ISERROR(SEARCH("Small",Q49)))</formula>
    </cfRule>
    <cfRule type="containsText" dxfId="282" priority="256" operator="containsText" text="Mid">
      <formula>NOT(ISERROR(SEARCH("Mid",Q49)))</formula>
    </cfRule>
    <cfRule type="containsText" dxfId="281" priority="257" operator="containsText" text="Large">
      <formula>NOT(ISERROR(SEARCH("Large",Q49)))</formula>
    </cfRule>
  </conditionalFormatting>
  <conditionalFormatting sqref="Q49">
    <cfRule type="containsText" dxfId="280" priority="252" operator="containsText" text="Small">
      <formula>NOT(ISERROR(SEARCH("Small",Q49)))</formula>
    </cfRule>
    <cfRule type="containsText" dxfId="279" priority="253" operator="containsText" text="Mid">
      <formula>NOT(ISERROR(SEARCH("Mid",Q49)))</formula>
    </cfRule>
    <cfRule type="containsText" dxfId="278" priority="254" operator="containsText" text="Large">
      <formula>NOT(ISERROR(SEARCH("Large",Q49)))</formula>
    </cfRule>
  </conditionalFormatting>
  <conditionalFormatting sqref="Q49">
    <cfRule type="containsText" dxfId="277" priority="251" operator="containsText" text="No Cap">
      <formula>NOT(ISERROR(SEARCH("No Cap",Q49)))</formula>
    </cfRule>
  </conditionalFormatting>
  <conditionalFormatting sqref="Q49">
    <cfRule type="containsText" dxfId="276" priority="250" operator="containsText" text="No Cap">
      <formula>NOT(ISERROR(SEARCH("No Cap",Q49)))</formula>
    </cfRule>
  </conditionalFormatting>
  <conditionalFormatting sqref="Q49">
    <cfRule type="containsText" dxfId="275" priority="247" operator="containsText" text="Small">
      <formula>NOT(ISERROR(SEARCH("Small",Q49)))</formula>
    </cfRule>
    <cfRule type="containsText" dxfId="274" priority="248" operator="containsText" text="Mid">
      <formula>NOT(ISERROR(SEARCH("Mid",Q49)))</formula>
    </cfRule>
    <cfRule type="containsText" dxfId="273" priority="249" operator="containsText" text="Large">
      <formula>NOT(ISERROR(SEARCH("Large",Q49)))</formula>
    </cfRule>
  </conditionalFormatting>
  <conditionalFormatting sqref="Q49">
    <cfRule type="containsText" dxfId="272" priority="244" operator="containsText" text="Small">
      <formula>NOT(ISERROR(SEARCH("Small",Q49)))</formula>
    </cfRule>
    <cfRule type="containsText" dxfId="271" priority="245" operator="containsText" text="Mid">
      <formula>NOT(ISERROR(SEARCH("Mid",Q49)))</formula>
    </cfRule>
    <cfRule type="containsText" dxfId="270" priority="246" operator="containsText" text="Large">
      <formula>NOT(ISERROR(SEARCH("Large",Q49)))</formula>
    </cfRule>
  </conditionalFormatting>
  <conditionalFormatting sqref="Q49">
    <cfRule type="containsText" dxfId="269" priority="241" operator="containsText" text="Small">
      <formula>NOT(ISERROR(SEARCH("Small",Q49)))</formula>
    </cfRule>
    <cfRule type="containsText" dxfId="268" priority="242" operator="containsText" text="Mid">
      <formula>NOT(ISERROR(SEARCH("Mid",Q49)))</formula>
    </cfRule>
    <cfRule type="containsText" dxfId="267" priority="243" operator="containsText" text="Large">
      <formula>NOT(ISERROR(SEARCH("Large",Q49)))</formula>
    </cfRule>
  </conditionalFormatting>
  <conditionalFormatting sqref="Q49">
    <cfRule type="containsText" dxfId="266" priority="240" operator="containsText" text="No Cap">
      <formula>NOT(ISERROR(SEARCH("No Cap",Q49)))</formula>
    </cfRule>
  </conditionalFormatting>
  <conditionalFormatting sqref="Q49">
    <cfRule type="containsText" dxfId="265" priority="239" operator="containsText" text="No Cap">
      <formula>NOT(ISERROR(SEARCH("No Cap",Q49)))</formula>
    </cfRule>
  </conditionalFormatting>
  <conditionalFormatting sqref="Q49">
    <cfRule type="containsText" dxfId="264" priority="236" operator="containsText" text="Small">
      <formula>NOT(ISERROR(SEARCH("Small",Q49)))</formula>
    </cfRule>
    <cfRule type="containsText" dxfId="263" priority="237" operator="containsText" text="Mid">
      <formula>NOT(ISERROR(SEARCH("Mid",Q49)))</formula>
    </cfRule>
    <cfRule type="containsText" dxfId="262" priority="238" operator="containsText" text="Large">
      <formula>NOT(ISERROR(SEARCH("Large",Q49)))</formula>
    </cfRule>
  </conditionalFormatting>
  <conditionalFormatting sqref="Q49">
    <cfRule type="containsText" dxfId="261" priority="233" operator="containsText" text="Small">
      <formula>NOT(ISERROR(SEARCH("Small",Q49)))</formula>
    </cfRule>
    <cfRule type="containsText" dxfId="260" priority="234" operator="containsText" text="Mid">
      <formula>NOT(ISERROR(SEARCH("Mid",Q49)))</formula>
    </cfRule>
    <cfRule type="containsText" dxfId="259" priority="235" operator="containsText" text="Large">
      <formula>NOT(ISERROR(SEARCH("Large",Q49)))</formula>
    </cfRule>
  </conditionalFormatting>
  <conditionalFormatting sqref="Q49">
    <cfRule type="containsText" dxfId="258" priority="230" operator="containsText" text="Small">
      <formula>NOT(ISERROR(SEARCH("Small",Q49)))</formula>
    </cfRule>
    <cfRule type="containsText" dxfId="257" priority="231" operator="containsText" text="Mid">
      <formula>NOT(ISERROR(SEARCH("Mid",Q49)))</formula>
    </cfRule>
    <cfRule type="containsText" dxfId="256" priority="232" operator="containsText" text="Large">
      <formula>NOT(ISERROR(SEARCH("Large",Q49)))</formula>
    </cfRule>
  </conditionalFormatting>
  <conditionalFormatting sqref="Q49">
    <cfRule type="containsText" dxfId="255" priority="229" operator="containsText" text="No Cap">
      <formula>NOT(ISERROR(SEARCH("No Cap",Q49)))</formula>
    </cfRule>
  </conditionalFormatting>
  <conditionalFormatting sqref="Q49">
    <cfRule type="containsText" dxfId="254" priority="228" operator="containsText" text="No Cap">
      <formula>NOT(ISERROR(SEARCH("No Cap",Q49)))</formula>
    </cfRule>
  </conditionalFormatting>
  <conditionalFormatting sqref="Q49">
    <cfRule type="containsText" dxfId="253" priority="225" operator="containsText" text="Small">
      <formula>NOT(ISERROR(SEARCH("Small",Q49)))</formula>
    </cfRule>
    <cfRule type="containsText" dxfId="252" priority="226" operator="containsText" text="Mid">
      <formula>NOT(ISERROR(SEARCH("Mid",Q49)))</formula>
    </cfRule>
    <cfRule type="containsText" dxfId="251" priority="227" operator="containsText" text="Large">
      <formula>NOT(ISERROR(SEARCH("Large",Q49)))</formula>
    </cfRule>
  </conditionalFormatting>
  <conditionalFormatting sqref="Q49">
    <cfRule type="containsText" dxfId="250" priority="222" operator="containsText" text="Small">
      <formula>NOT(ISERROR(SEARCH("Small",Q49)))</formula>
    </cfRule>
    <cfRule type="containsText" dxfId="249" priority="223" operator="containsText" text="Mid">
      <formula>NOT(ISERROR(SEARCH("Mid",Q49)))</formula>
    </cfRule>
    <cfRule type="containsText" dxfId="248" priority="224" operator="containsText" text="Large">
      <formula>NOT(ISERROR(SEARCH("Large",Q49)))</formula>
    </cfRule>
  </conditionalFormatting>
  <conditionalFormatting sqref="Q49">
    <cfRule type="containsText" dxfId="247" priority="219" operator="containsText" text="Small">
      <formula>NOT(ISERROR(SEARCH("Small",Q49)))</formula>
    </cfRule>
    <cfRule type="containsText" dxfId="246" priority="220" operator="containsText" text="Mid">
      <formula>NOT(ISERROR(SEARCH("Mid",Q49)))</formula>
    </cfRule>
    <cfRule type="containsText" dxfId="245" priority="221" operator="containsText" text="Large">
      <formula>NOT(ISERROR(SEARCH("Large",Q49)))</formula>
    </cfRule>
  </conditionalFormatting>
  <conditionalFormatting sqref="Q49">
    <cfRule type="containsText" dxfId="244" priority="218" operator="containsText" text="NA">
      <formula>NOT(ISERROR(SEARCH("NA",Q49)))</formula>
    </cfRule>
  </conditionalFormatting>
  <conditionalFormatting sqref="Q49">
    <cfRule type="containsText" dxfId="243" priority="215" operator="containsText" text="Small">
      <formula>NOT(ISERROR(SEARCH("Small",Q49)))</formula>
    </cfRule>
    <cfRule type="containsText" dxfId="242" priority="216" operator="containsText" text="Mid">
      <formula>NOT(ISERROR(SEARCH("Mid",Q49)))</formula>
    </cfRule>
    <cfRule type="containsText" dxfId="241" priority="217" operator="containsText" text="Large">
      <formula>NOT(ISERROR(SEARCH("Large",Q49)))</formula>
    </cfRule>
  </conditionalFormatting>
  <conditionalFormatting sqref="Q49">
    <cfRule type="containsText" dxfId="240" priority="212" operator="containsText" text="Small">
      <formula>NOT(ISERROR(SEARCH("Small",Q49)))</formula>
    </cfRule>
    <cfRule type="containsText" dxfId="239" priority="213" operator="containsText" text="Mid">
      <formula>NOT(ISERROR(SEARCH("Mid",Q49)))</formula>
    </cfRule>
    <cfRule type="containsText" dxfId="238" priority="214" operator="containsText" text="Large">
      <formula>NOT(ISERROR(SEARCH("Large",Q49)))</formula>
    </cfRule>
  </conditionalFormatting>
  <conditionalFormatting sqref="Q49">
    <cfRule type="containsText" dxfId="237" priority="209" operator="containsText" text="Small">
      <formula>NOT(ISERROR(SEARCH("Small",Q49)))</formula>
    </cfRule>
    <cfRule type="containsText" dxfId="236" priority="210" operator="containsText" text="Mid">
      <formula>NOT(ISERROR(SEARCH("Mid",Q49)))</formula>
    </cfRule>
    <cfRule type="containsText" dxfId="235" priority="211" operator="containsText" text="Large">
      <formula>NOT(ISERROR(SEARCH("Large",Q49)))</formula>
    </cfRule>
  </conditionalFormatting>
  <conditionalFormatting sqref="Q49">
    <cfRule type="containsText" dxfId="234" priority="206" operator="containsText" text="Small">
      <formula>NOT(ISERROR(SEARCH("Small",Q49)))</formula>
    </cfRule>
    <cfRule type="containsText" dxfId="233" priority="207" operator="containsText" text="Mid">
      <formula>NOT(ISERROR(SEARCH("Mid",Q49)))</formula>
    </cfRule>
    <cfRule type="containsText" dxfId="232" priority="208" operator="containsText" text="Large">
      <formula>NOT(ISERROR(SEARCH("Large",Q49)))</formula>
    </cfRule>
  </conditionalFormatting>
  <conditionalFormatting sqref="Q49">
    <cfRule type="containsText" dxfId="231" priority="203" operator="containsText" text="Small">
      <formula>NOT(ISERROR(SEARCH("Small",Q49)))</formula>
    </cfRule>
    <cfRule type="containsText" dxfId="230" priority="204" operator="containsText" text="Mid">
      <formula>NOT(ISERROR(SEARCH("Mid",Q49)))</formula>
    </cfRule>
    <cfRule type="containsText" dxfId="229" priority="205" operator="containsText" text="Large">
      <formula>NOT(ISERROR(SEARCH("Large",Q49)))</formula>
    </cfRule>
  </conditionalFormatting>
  <conditionalFormatting sqref="Q49">
    <cfRule type="containsText" dxfId="228" priority="200" operator="containsText" text="Small">
      <formula>NOT(ISERROR(SEARCH("Small",Q49)))</formula>
    </cfRule>
    <cfRule type="containsText" dxfId="227" priority="201" operator="containsText" text="Mid">
      <formula>NOT(ISERROR(SEARCH("Mid",Q49)))</formula>
    </cfRule>
    <cfRule type="containsText" dxfId="226" priority="202" operator="containsText" text="Large">
      <formula>NOT(ISERROR(SEARCH("Large",Q49)))</formula>
    </cfRule>
  </conditionalFormatting>
  <conditionalFormatting sqref="Q49">
    <cfRule type="containsText" dxfId="225" priority="197" operator="containsText" text="Small">
      <formula>NOT(ISERROR(SEARCH("Small",Q49)))</formula>
    </cfRule>
    <cfRule type="containsText" dxfId="224" priority="198" operator="containsText" text="Mid">
      <formula>NOT(ISERROR(SEARCH("Mid",Q49)))</formula>
    </cfRule>
    <cfRule type="containsText" dxfId="223" priority="199" operator="containsText" text="Large">
      <formula>NOT(ISERROR(SEARCH("Large",Q49)))</formula>
    </cfRule>
  </conditionalFormatting>
  <conditionalFormatting sqref="Q49">
    <cfRule type="containsText" dxfId="222" priority="194" operator="containsText" text="Small">
      <formula>NOT(ISERROR(SEARCH("Small",Q49)))</formula>
    </cfRule>
    <cfRule type="containsText" dxfId="221" priority="195" operator="containsText" text="Mid">
      <formula>NOT(ISERROR(SEARCH("Mid",Q49)))</formula>
    </cfRule>
    <cfRule type="containsText" dxfId="220" priority="196" operator="containsText" text="Large">
      <formula>NOT(ISERROR(SEARCH("Large",Q49)))</formula>
    </cfRule>
  </conditionalFormatting>
  <conditionalFormatting sqref="Q49">
    <cfRule type="containsText" dxfId="219" priority="191" operator="containsText" text="Small">
      <formula>NOT(ISERROR(SEARCH("Small",Q49)))</formula>
    </cfRule>
    <cfRule type="containsText" dxfId="218" priority="192" operator="containsText" text="Mid">
      <formula>NOT(ISERROR(SEARCH("Mid",Q49)))</formula>
    </cfRule>
    <cfRule type="containsText" dxfId="217" priority="193" operator="containsText" text="Large">
      <formula>NOT(ISERROR(SEARCH("Large",Q49)))</formula>
    </cfRule>
  </conditionalFormatting>
  <conditionalFormatting sqref="Q49">
    <cfRule type="containsText" dxfId="216" priority="188" operator="containsText" text="Small">
      <formula>NOT(ISERROR(SEARCH("Small",Q49)))</formula>
    </cfRule>
    <cfRule type="containsText" dxfId="215" priority="189" operator="containsText" text="Mid">
      <formula>NOT(ISERROR(SEARCH("Mid",Q49)))</formula>
    </cfRule>
    <cfRule type="containsText" dxfId="214" priority="190" operator="containsText" text="Large">
      <formula>NOT(ISERROR(SEARCH("Large",Q49)))</formula>
    </cfRule>
  </conditionalFormatting>
  <conditionalFormatting sqref="Q49">
    <cfRule type="containsText" dxfId="213" priority="185" operator="containsText" text="Small">
      <formula>NOT(ISERROR(SEARCH("Small",Q49)))</formula>
    </cfRule>
    <cfRule type="containsText" dxfId="212" priority="186" operator="containsText" text="Mid">
      <formula>NOT(ISERROR(SEARCH("Mid",Q49)))</formula>
    </cfRule>
    <cfRule type="containsText" dxfId="211" priority="187" operator="containsText" text="Large">
      <formula>NOT(ISERROR(SEARCH("Large",Q49)))</formula>
    </cfRule>
  </conditionalFormatting>
  <conditionalFormatting sqref="Q49">
    <cfRule type="containsText" dxfId="210" priority="182" operator="containsText" text="Small">
      <formula>NOT(ISERROR(SEARCH("Small",Q49)))</formula>
    </cfRule>
    <cfRule type="containsText" dxfId="209" priority="183" operator="containsText" text="Mid">
      <formula>NOT(ISERROR(SEARCH("Mid",Q49)))</formula>
    </cfRule>
    <cfRule type="containsText" dxfId="208" priority="184" operator="containsText" text="Large">
      <formula>NOT(ISERROR(SEARCH("Large",Q49)))</formula>
    </cfRule>
  </conditionalFormatting>
  <conditionalFormatting sqref="Q49">
    <cfRule type="containsText" dxfId="207" priority="179" operator="containsText" text="Small">
      <formula>NOT(ISERROR(SEARCH("Small",Q49)))</formula>
    </cfRule>
    <cfRule type="containsText" dxfId="206" priority="180" operator="containsText" text="Mid">
      <formula>NOT(ISERROR(SEARCH("Mid",Q49)))</formula>
    </cfRule>
    <cfRule type="containsText" dxfId="205" priority="181" operator="containsText" text="Large">
      <formula>NOT(ISERROR(SEARCH("Large",Q49)))</formula>
    </cfRule>
  </conditionalFormatting>
  <conditionalFormatting sqref="Q49">
    <cfRule type="containsText" dxfId="204" priority="176" operator="containsText" text="Small">
      <formula>NOT(ISERROR(SEARCH("Small",Q49)))</formula>
    </cfRule>
    <cfRule type="containsText" dxfId="203" priority="177" operator="containsText" text="Mid">
      <formula>NOT(ISERROR(SEARCH("Mid",Q49)))</formula>
    </cfRule>
    <cfRule type="containsText" dxfId="202" priority="178" operator="containsText" text="Large">
      <formula>NOT(ISERROR(SEARCH("Large",Q49)))</formula>
    </cfRule>
  </conditionalFormatting>
  <conditionalFormatting sqref="Q49">
    <cfRule type="containsText" dxfId="201" priority="173" operator="containsText" text="Small">
      <formula>NOT(ISERROR(SEARCH("Small",Q49)))</formula>
    </cfRule>
    <cfRule type="containsText" dxfId="200" priority="174" operator="containsText" text="Mid">
      <formula>NOT(ISERROR(SEARCH("Mid",Q49)))</formula>
    </cfRule>
    <cfRule type="containsText" dxfId="199" priority="175" operator="containsText" text="Large">
      <formula>NOT(ISERROR(SEARCH("Large",Q49)))</formula>
    </cfRule>
  </conditionalFormatting>
  <conditionalFormatting sqref="Q49">
    <cfRule type="containsText" dxfId="198" priority="170" operator="containsText" text="Small">
      <formula>NOT(ISERROR(SEARCH("Small",Q49)))</formula>
    </cfRule>
    <cfRule type="containsText" dxfId="197" priority="171" operator="containsText" text="Mid">
      <formula>NOT(ISERROR(SEARCH("Mid",Q49)))</formula>
    </cfRule>
    <cfRule type="containsText" dxfId="196" priority="172" operator="containsText" text="Large">
      <formula>NOT(ISERROR(SEARCH("Large",Q49)))</formula>
    </cfRule>
  </conditionalFormatting>
  <conditionalFormatting sqref="Q49">
    <cfRule type="containsText" dxfId="195" priority="167" operator="containsText" text="Small">
      <formula>NOT(ISERROR(SEARCH("Small",Q49)))</formula>
    </cfRule>
    <cfRule type="containsText" dxfId="194" priority="168" operator="containsText" text="Mid">
      <formula>NOT(ISERROR(SEARCH("Mid",Q49)))</formula>
    </cfRule>
    <cfRule type="containsText" dxfId="193" priority="169" operator="containsText" text="Large">
      <formula>NOT(ISERROR(SEARCH("Large",Q49)))</formula>
    </cfRule>
  </conditionalFormatting>
  <conditionalFormatting sqref="Q49">
    <cfRule type="containsText" dxfId="192" priority="164" operator="containsText" text="Small">
      <formula>NOT(ISERROR(SEARCH("Small",Q49)))</formula>
    </cfRule>
    <cfRule type="containsText" dxfId="191" priority="165" operator="containsText" text="Mid">
      <formula>NOT(ISERROR(SEARCH("Mid",Q49)))</formula>
    </cfRule>
    <cfRule type="containsText" dxfId="190" priority="166" operator="containsText" text="Large">
      <formula>NOT(ISERROR(SEARCH("Large",Q49)))</formula>
    </cfRule>
  </conditionalFormatting>
  <conditionalFormatting sqref="Q49">
    <cfRule type="containsText" dxfId="189" priority="161" operator="containsText" text="Small">
      <formula>NOT(ISERROR(SEARCH("Small",Q49)))</formula>
    </cfRule>
    <cfRule type="containsText" dxfId="188" priority="162" operator="containsText" text="Mid">
      <formula>NOT(ISERROR(SEARCH("Mid",Q49)))</formula>
    </cfRule>
    <cfRule type="containsText" dxfId="187" priority="163" operator="containsText" text="Large">
      <formula>NOT(ISERROR(SEARCH("Large",Q49)))</formula>
    </cfRule>
  </conditionalFormatting>
  <conditionalFormatting sqref="Q49">
    <cfRule type="containsText" dxfId="186" priority="158" operator="containsText" text="Small">
      <formula>NOT(ISERROR(SEARCH("Small",Q49)))</formula>
    </cfRule>
    <cfRule type="containsText" dxfId="185" priority="159" operator="containsText" text="Mid">
      <formula>NOT(ISERROR(SEARCH("Mid",Q49)))</formula>
    </cfRule>
    <cfRule type="containsText" dxfId="184" priority="160" operator="containsText" text="Large">
      <formula>NOT(ISERROR(SEARCH("Large",Q49)))</formula>
    </cfRule>
  </conditionalFormatting>
  <conditionalFormatting sqref="Q49">
    <cfRule type="containsText" dxfId="183" priority="155" operator="containsText" text="Small">
      <formula>NOT(ISERROR(SEARCH("Small",Q49)))</formula>
    </cfRule>
    <cfRule type="containsText" dxfId="182" priority="156" operator="containsText" text="Mid">
      <formula>NOT(ISERROR(SEARCH("Mid",Q49)))</formula>
    </cfRule>
    <cfRule type="containsText" dxfId="181" priority="157" operator="containsText" text="Large">
      <formula>NOT(ISERROR(SEARCH("Large",Q49)))</formula>
    </cfRule>
  </conditionalFormatting>
  <conditionalFormatting sqref="Q49">
    <cfRule type="containsText" dxfId="180" priority="152" operator="containsText" text="Small">
      <formula>NOT(ISERROR(SEARCH("Small",Q49)))</formula>
    </cfRule>
    <cfRule type="containsText" dxfId="179" priority="153" operator="containsText" text="Mid">
      <formula>NOT(ISERROR(SEARCH("Mid",Q49)))</formula>
    </cfRule>
    <cfRule type="containsText" dxfId="178" priority="154" operator="containsText" text="Large">
      <formula>NOT(ISERROR(SEARCH("Large",Q49)))</formula>
    </cfRule>
  </conditionalFormatting>
  <conditionalFormatting sqref="Q49">
    <cfRule type="containsText" dxfId="177" priority="149" operator="containsText" text="Small">
      <formula>NOT(ISERROR(SEARCH("Small",Q49)))</formula>
    </cfRule>
    <cfRule type="containsText" dxfId="176" priority="150" operator="containsText" text="Mid">
      <formula>NOT(ISERROR(SEARCH("Mid",Q49)))</formula>
    </cfRule>
    <cfRule type="containsText" dxfId="175" priority="151" operator="containsText" text="Large">
      <formula>NOT(ISERROR(SEARCH("Large",Q49)))</formula>
    </cfRule>
  </conditionalFormatting>
  <conditionalFormatting sqref="Q49">
    <cfRule type="containsText" dxfId="174" priority="146" operator="containsText" text="Small">
      <formula>NOT(ISERROR(SEARCH("Small",Q49)))</formula>
    </cfRule>
    <cfRule type="containsText" dxfId="173" priority="147" operator="containsText" text="Mid">
      <formula>NOT(ISERROR(SEARCH("Mid",Q49)))</formula>
    </cfRule>
    <cfRule type="containsText" dxfId="172" priority="148" operator="containsText" text="Large">
      <formula>NOT(ISERROR(SEARCH("Large",Q49)))</formula>
    </cfRule>
  </conditionalFormatting>
  <conditionalFormatting sqref="Q49">
    <cfRule type="containsText" dxfId="171" priority="143" operator="containsText" text="Small">
      <formula>NOT(ISERROR(SEARCH("Small",Q49)))</formula>
    </cfRule>
    <cfRule type="containsText" dxfId="170" priority="144" operator="containsText" text="Mid">
      <formula>NOT(ISERROR(SEARCH("Mid",Q49)))</formula>
    </cfRule>
    <cfRule type="containsText" dxfId="169" priority="145" operator="containsText" text="Large">
      <formula>NOT(ISERROR(SEARCH("Large",Q49)))</formula>
    </cfRule>
  </conditionalFormatting>
  <conditionalFormatting sqref="Q49">
    <cfRule type="containsText" dxfId="168" priority="140" operator="containsText" text="Small">
      <formula>NOT(ISERROR(SEARCH("Small",Q49)))</formula>
    </cfRule>
    <cfRule type="containsText" dxfId="167" priority="141" operator="containsText" text="Mid">
      <formula>NOT(ISERROR(SEARCH("Mid",Q49)))</formula>
    </cfRule>
    <cfRule type="containsText" dxfId="166" priority="142" operator="containsText" text="Large">
      <formula>NOT(ISERROR(SEARCH("Large",Q49)))</formula>
    </cfRule>
  </conditionalFormatting>
  <conditionalFormatting sqref="Q49">
    <cfRule type="containsText" dxfId="165" priority="137" operator="containsText" text="Small">
      <formula>NOT(ISERROR(SEARCH("Small",Q49)))</formula>
    </cfRule>
    <cfRule type="containsText" dxfId="164" priority="138" operator="containsText" text="Mid">
      <formula>NOT(ISERROR(SEARCH("Mid",Q49)))</formula>
    </cfRule>
    <cfRule type="containsText" dxfId="163" priority="139" operator="containsText" text="Large">
      <formula>NOT(ISERROR(SEARCH("Large",Q49)))</formula>
    </cfRule>
  </conditionalFormatting>
  <conditionalFormatting sqref="Q49">
    <cfRule type="containsText" dxfId="162" priority="134" operator="containsText" text="Small">
      <formula>NOT(ISERROR(SEARCH("Small",Q49)))</formula>
    </cfRule>
    <cfRule type="containsText" dxfId="161" priority="135" operator="containsText" text="Mid">
      <formula>NOT(ISERROR(SEARCH("Mid",Q49)))</formula>
    </cfRule>
    <cfRule type="containsText" dxfId="160" priority="136" operator="containsText" text="Large">
      <formula>NOT(ISERROR(SEARCH("Large",Q49)))</formula>
    </cfRule>
  </conditionalFormatting>
  <conditionalFormatting sqref="Q49">
    <cfRule type="containsText" dxfId="159" priority="131" operator="containsText" text="Small">
      <formula>NOT(ISERROR(SEARCH("Small",Q49)))</formula>
    </cfRule>
    <cfRule type="containsText" dxfId="158" priority="132" operator="containsText" text="Mid">
      <formula>NOT(ISERROR(SEARCH("Mid",Q49)))</formula>
    </cfRule>
    <cfRule type="containsText" dxfId="157" priority="133" operator="containsText" text="Large">
      <formula>NOT(ISERROR(SEARCH("Large",Q49)))</formula>
    </cfRule>
  </conditionalFormatting>
  <conditionalFormatting sqref="Q49">
    <cfRule type="containsText" dxfId="156" priority="128" operator="containsText" text="Small">
      <formula>NOT(ISERROR(SEARCH("Small",Q49)))</formula>
    </cfRule>
    <cfRule type="containsText" dxfId="155" priority="129" operator="containsText" text="Mid">
      <formula>NOT(ISERROR(SEARCH("Mid",Q49)))</formula>
    </cfRule>
    <cfRule type="containsText" dxfId="154" priority="130" operator="containsText" text="Large">
      <formula>NOT(ISERROR(SEARCH("Large",Q49)))</formula>
    </cfRule>
  </conditionalFormatting>
  <conditionalFormatting sqref="Q49">
    <cfRule type="containsText" dxfId="153" priority="125" operator="containsText" text="Small">
      <formula>NOT(ISERROR(SEARCH("Small",Q49)))</formula>
    </cfRule>
    <cfRule type="containsText" dxfId="152" priority="126" operator="containsText" text="Mid">
      <formula>NOT(ISERROR(SEARCH("Mid",Q49)))</formula>
    </cfRule>
    <cfRule type="containsText" dxfId="151" priority="127" operator="containsText" text="Large">
      <formula>NOT(ISERROR(SEARCH("Large",Q49)))</formula>
    </cfRule>
  </conditionalFormatting>
  <conditionalFormatting sqref="Q49">
    <cfRule type="containsText" dxfId="150" priority="122" operator="containsText" text="Small">
      <formula>NOT(ISERROR(SEARCH("Small",Q49)))</formula>
    </cfRule>
    <cfRule type="containsText" dxfId="149" priority="123" operator="containsText" text="Mid">
      <formula>NOT(ISERROR(SEARCH("Mid",Q49)))</formula>
    </cfRule>
    <cfRule type="containsText" dxfId="148" priority="124" operator="containsText" text="Large">
      <formula>NOT(ISERROR(SEARCH("Large",Q49)))</formula>
    </cfRule>
  </conditionalFormatting>
  <conditionalFormatting sqref="Q49">
    <cfRule type="containsText" dxfId="147" priority="119" operator="containsText" text="Small">
      <formula>NOT(ISERROR(SEARCH("Small",Q49)))</formula>
    </cfRule>
    <cfRule type="containsText" dxfId="146" priority="120" operator="containsText" text="Mid">
      <formula>NOT(ISERROR(SEARCH("Mid",Q49)))</formula>
    </cfRule>
    <cfRule type="containsText" dxfId="145" priority="121" operator="containsText" text="Large">
      <formula>NOT(ISERROR(SEARCH("Large",Q49)))</formula>
    </cfRule>
  </conditionalFormatting>
  <conditionalFormatting sqref="Q49">
    <cfRule type="containsText" dxfId="144" priority="116" operator="containsText" text="Small">
      <formula>NOT(ISERROR(SEARCH("Small",Q49)))</formula>
    </cfRule>
    <cfRule type="containsText" dxfId="143" priority="117" operator="containsText" text="Mid">
      <formula>NOT(ISERROR(SEARCH("Mid",Q49)))</formula>
    </cfRule>
    <cfRule type="containsText" dxfId="142" priority="118" operator="containsText" text="Large">
      <formula>NOT(ISERROR(SEARCH("Large",Q49)))</formula>
    </cfRule>
  </conditionalFormatting>
  <conditionalFormatting sqref="Q49">
    <cfRule type="containsText" dxfId="141" priority="113" operator="containsText" text="Small">
      <formula>NOT(ISERROR(SEARCH("Small",Q49)))</formula>
    </cfRule>
    <cfRule type="containsText" dxfId="140" priority="114" operator="containsText" text="Mid">
      <formula>NOT(ISERROR(SEARCH("Mid",Q49)))</formula>
    </cfRule>
    <cfRule type="containsText" dxfId="139" priority="115" operator="containsText" text="Large">
      <formula>NOT(ISERROR(SEARCH("Large",Q49)))</formula>
    </cfRule>
  </conditionalFormatting>
  <conditionalFormatting sqref="Q49">
    <cfRule type="containsText" dxfId="138" priority="110" operator="containsText" text="Small">
      <formula>NOT(ISERROR(SEARCH("Small",Q49)))</formula>
    </cfRule>
    <cfRule type="containsText" dxfId="137" priority="111" operator="containsText" text="Mid">
      <formula>NOT(ISERROR(SEARCH("Mid",Q49)))</formula>
    </cfRule>
    <cfRule type="containsText" dxfId="136" priority="112" operator="containsText" text="Large">
      <formula>NOT(ISERROR(SEARCH("Large",Q49)))</formula>
    </cfRule>
  </conditionalFormatting>
  <conditionalFormatting sqref="Q49">
    <cfRule type="containsText" dxfId="135" priority="107" operator="containsText" text="Small">
      <formula>NOT(ISERROR(SEARCH("Small",Q49)))</formula>
    </cfRule>
    <cfRule type="containsText" dxfId="134" priority="108" operator="containsText" text="Mid">
      <formula>NOT(ISERROR(SEARCH("Mid",Q49)))</formula>
    </cfRule>
    <cfRule type="containsText" dxfId="133" priority="109" operator="containsText" text="Large">
      <formula>NOT(ISERROR(SEARCH("Large",Q49)))</formula>
    </cfRule>
  </conditionalFormatting>
  <conditionalFormatting sqref="Q49">
    <cfRule type="containsText" dxfId="132" priority="104" operator="containsText" text="Small">
      <formula>NOT(ISERROR(SEARCH("Small",Q49)))</formula>
    </cfRule>
    <cfRule type="containsText" dxfId="131" priority="105" operator="containsText" text="Mid">
      <formula>NOT(ISERROR(SEARCH("Mid",Q49)))</formula>
    </cfRule>
    <cfRule type="containsText" dxfId="130" priority="106" operator="containsText" text="Large">
      <formula>NOT(ISERROR(SEARCH("Large",Q49)))</formula>
    </cfRule>
  </conditionalFormatting>
  <conditionalFormatting sqref="Q49">
    <cfRule type="containsText" dxfId="129" priority="101" operator="containsText" text="Small">
      <formula>NOT(ISERROR(SEARCH("Small",Q49)))</formula>
    </cfRule>
    <cfRule type="containsText" dxfId="128" priority="102" operator="containsText" text="Mid">
      <formula>NOT(ISERROR(SEARCH("Mid",Q49)))</formula>
    </cfRule>
    <cfRule type="containsText" dxfId="127" priority="103" operator="containsText" text="Large">
      <formula>NOT(ISERROR(SEARCH("Large",Q49)))</formula>
    </cfRule>
  </conditionalFormatting>
  <conditionalFormatting sqref="Q49">
    <cfRule type="containsText" dxfId="126" priority="98" operator="containsText" text="Small">
      <formula>NOT(ISERROR(SEARCH("Small",Q49)))</formula>
    </cfRule>
    <cfRule type="containsText" dxfId="125" priority="99" operator="containsText" text="Mid">
      <formula>NOT(ISERROR(SEARCH("Mid",Q49)))</formula>
    </cfRule>
    <cfRule type="containsText" dxfId="124" priority="100" operator="containsText" text="Large">
      <formula>NOT(ISERROR(SEARCH("Large",Q49)))</formula>
    </cfRule>
  </conditionalFormatting>
  <conditionalFormatting sqref="Q49">
    <cfRule type="containsText" dxfId="123" priority="95" operator="containsText" text="Small">
      <formula>NOT(ISERROR(SEARCH("Small",Q49)))</formula>
    </cfRule>
    <cfRule type="containsText" dxfId="122" priority="96" operator="containsText" text="Mid">
      <formula>NOT(ISERROR(SEARCH("Mid",Q49)))</formula>
    </cfRule>
    <cfRule type="containsText" dxfId="121" priority="97" operator="containsText" text="Large">
      <formula>NOT(ISERROR(SEARCH("Large",Q49)))</formula>
    </cfRule>
  </conditionalFormatting>
  <conditionalFormatting sqref="Q49">
    <cfRule type="containsText" dxfId="120" priority="92" operator="containsText" text="Small">
      <formula>NOT(ISERROR(SEARCH("Small",Q49)))</formula>
    </cfRule>
    <cfRule type="containsText" dxfId="119" priority="93" operator="containsText" text="Mid">
      <formula>NOT(ISERROR(SEARCH("Mid",Q49)))</formula>
    </cfRule>
    <cfRule type="containsText" dxfId="118" priority="94" operator="containsText" text="Large">
      <formula>NOT(ISERROR(SEARCH("Large",Q49)))</formula>
    </cfRule>
  </conditionalFormatting>
  <conditionalFormatting sqref="Q49">
    <cfRule type="containsText" dxfId="117" priority="89" operator="containsText" text="Small">
      <formula>NOT(ISERROR(SEARCH("Small",Q49)))</formula>
    </cfRule>
    <cfRule type="containsText" dxfId="116" priority="90" operator="containsText" text="Mid">
      <formula>NOT(ISERROR(SEARCH("Mid",Q49)))</formula>
    </cfRule>
    <cfRule type="containsText" dxfId="115" priority="91" operator="containsText" text="Large">
      <formula>NOT(ISERROR(SEARCH("Large",Q49)))</formula>
    </cfRule>
  </conditionalFormatting>
  <conditionalFormatting sqref="Q49">
    <cfRule type="containsText" dxfId="114" priority="86" operator="containsText" text="Small">
      <formula>NOT(ISERROR(SEARCH("Small",Q49)))</formula>
    </cfRule>
    <cfRule type="containsText" dxfId="113" priority="87" operator="containsText" text="Mid">
      <formula>NOT(ISERROR(SEARCH("Mid",Q49)))</formula>
    </cfRule>
    <cfRule type="containsText" dxfId="112" priority="88" operator="containsText" text="Large">
      <formula>NOT(ISERROR(SEARCH("Large",Q49)))</formula>
    </cfRule>
  </conditionalFormatting>
  <conditionalFormatting sqref="Q49">
    <cfRule type="containsText" dxfId="111" priority="83" operator="containsText" text="Small">
      <formula>NOT(ISERROR(SEARCH("Small",Q49)))</formula>
    </cfRule>
    <cfRule type="containsText" dxfId="110" priority="84" operator="containsText" text="Mid">
      <formula>NOT(ISERROR(SEARCH("Mid",Q49)))</formula>
    </cfRule>
    <cfRule type="containsText" dxfId="109" priority="85" operator="containsText" text="Large">
      <formula>NOT(ISERROR(SEARCH("Large",Q49)))</formula>
    </cfRule>
  </conditionalFormatting>
  <conditionalFormatting sqref="Q49">
    <cfRule type="containsText" dxfId="108" priority="80" operator="containsText" text="Small">
      <formula>NOT(ISERROR(SEARCH("Small",Q49)))</formula>
    </cfRule>
    <cfRule type="containsText" dxfId="107" priority="81" operator="containsText" text="Mid">
      <formula>NOT(ISERROR(SEARCH("Mid",Q49)))</formula>
    </cfRule>
    <cfRule type="containsText" dxfId="106" priority="82" operator="containsText" text="Large">
      <formula>NOT(ISERROR(SEARCH("Large",Q49)))</formula>
    </cfRule>
  </conditionalFormatting>
  <conditionalFormatting sqref="Q49">
    <cfRule type="containsText" dxfId="105" priority="77" operator="containsText" text="Small">
      <formula>NOT(ISERROR(SEARCH("Small",Q49)))</formula>
    </cfRule>
    <cfRule type="containsText" dxfId="104" priority="78" operator="containsText" text="Mid">
      <formula>NOT(ISERROR(SEARCH("Mid",Q49)))</formula>
    </cfRule>
    <cfRule type="containsText" dxfId="103" priority="79" operator="containsText" text="Large">
      <formula>NOT(ISERROR(SEARCH("Large",Q49)))</formula>
    </cfRule>
  </conditionalFormatting>
  <conditionalFormatting sqref="Q49">
    <cfRule type="containsText" dxfId="102" priority="74" operator="containsText" text="Small">
      <formula>NOT(ISERROR(SEARCH("Small",Q49)))</formula>
    </cfRule>
    <cfRule type="containsText" dxfId="101" priority="75" operator="containsText" text="Mid">
      <formula>NOT(ISERROR(SEARCH("Mid",Q49)))</formula>
    </cfRule>
    <cfRule type="containsText" dxfId="100" priority="76" operator="containsText" text="Large">
      <formula>NOT(ISERROR(SEARCH("Large",Q49)))</formula>
    </cfRule>
  </conditionalFormatting>
  <conditionalFormatting sqref="Q49">
    <cfRule type="containsText" dxfId="99" priority="71" operator="containsText" text="Small">
      <formula>NOT(ISERROR(SEARCH("Small",Q49)))</formula>
    </cfRule>
    <cfRule type="containsText" dxfId="98" priority="72" operator="containsText" text="Mid">
      <formula>NOT(ISERROR(SEARCH("Mid",Q49)))</formula>
    </cfRule>
    <cfRule type="containsText" dxfId="97" priority="73" operator="containsText" text="Large">
      <formula>NOT(ISERROR(SEARCH("Large",Q49)))</formula>
    </cfRule>
  </conditionalFormatting>
  <conditionalFormatting sqref="Q49">
    <cfRule type="containsText" dxfId="96" priority="68" operator="containsText" text="Small">
      <formula>NOT(ISERROR(SEARCH("Small",Q49)))</formula>
    </cfRule>
    <cfRule type="containsText" dxfId="95" priority="69" operator="containsText" text="Mid">
      <formula>NOT(ISERROR(SEARCH("Mid",Q49)))</formula>
    </cfRule>
    <cfRule type="containsText" dxfId="94" priority="70" operator="containsText" text="Large">
      <formula>NOT(ISERROR(SEARCH("Large",Q49)))</formula>
    </cfRule>
  </conditionalFormatting>
  <conditionalFormatting sqref="Q49">
    <cfRule type="containsText" dxfId="93" priority="65" operator="containsText" text="Small">
      <formula>NOT(ISERROR(SEARCH("Small",Q49)))</formula>
    </cfRule>
    <cfRule type="containsText" dxfId="92" priority="66" operator="containsText" text="Mid">
      <formula>NOT(ISERROR(SEARCH("Mid",Q49)))</formula>
    </cfRule>
    <cfRule type="containsText" dxfId="91" priority="67" operator="containsText" text="Large">
      <formula>NOT(ISERROR(SEARCH("Large",Q49)))</formula>
    </cfRule>
  </conditionalFormatting>
  <conditionalFormatting sqref="Q49">
    <cfRule type="containsText" dxfId="90" priority="62" operator="containsText" text="Small">
      <formula>NOT(ISERROR(SEARCH("Small",Q49)))</formula>
    </cfRule>
    <cfRule type="containsText" dxfId="89" priority="63" operator="containsText" text="Mid">
      <formula>NOT(ISERROR(SEARCH("Mid",Q49)))</formula>
    </cfRule>
    <cfRule type="containsText" dxfId="88" priority="64" operator="containsText" text="Large">
      <formula>NOT(ISERROR(SEARCH("Large",Q49)))</formula>
    </cfRule>
  </conditionalFormatting>
  <conditionalFormatting sqref="Q49">
    <cfRule type="containsText" dxfId="87" priority="59" operator="containsText" text="Small">
      <formula>NOT(ISERROR(SEARCH("Small",Q49)))</formula>
    </cfRule>
    <cfRule type="containsText" dxfId="86" priority="60" operator="containsText" text="Mid">
      <formula>NOT(ISERROR(SEARCH("Mid",Q49)))</formula>
    </cfRule>
    <cfRule type="containsText" dxfId="85" priority="61" operator="containsText" text="Large">
      <formula>NOT(ISERROR(SEARCH("Large",Q49)))</formula>
    </cfRule>
  </conditionalFormatting>
  <conditionalFormatting sqref="Q49">
    <cfRule type="containsText" dxfId="84" priority="56" operator="containsText" text="Small">
      <formula>NOT(ISERROR(SEARCH("Small",Q49)))</formula>
    </cfRule>
    <cfRule type="containsText" dxfId="83" priority="57" operator="containsText" text="Mid">
      <formula>NOT(ISERROR(SEARCH("Mid",Q49)))</formula>
    </cfRule>
    <cfRule type="containsText" dxfId="82" priority="58" operator="containsText" text="Large">
      <formula>NOT(ISERROR(SEARCH("Large",Q49)))</formula>
    </cfRule>
  </conditionalFormatting>
  <conditionalFormatting sqref="Q49">
    <cfRule type="containsText" dxfId="81" priority="53" operator="containsText" text="Small">
      <formula>NOT(ISERROR(SEARCH("Small",Q49)))</formula>
    </cfRule>
    <cfRule type="containsText" dxfId="80" priority="54" operator="containsText" text="Mid">
      <formula>NOT(ISERROR(SEARCH("Mid",Q49)))</formula>
    </cfRule>
    <cfRule type="containsText" dxfId="79" priority="55" operator="containsText" text="Large">
      <formula>NOT(ISERROR(SEARCH("Large",Q49)))</formula>
    </cfRule>
  </conditionalFormatting>
  <conditionalFormatting sqref="Q49">
    <cfRule type="containsText" dxfId="78" priority="50" operator="containsText" text="Small">
      <formula>NOT(ISERROR(SEARCH("Small",Q49)))</formula>
    </cfRule>
    <cfRule type="containsText" dxfId="77" priority="51" operator="containsText" text="Mid">
      <formula>NOT(ISERROR(SEARCH("Mid",Q49)))</formula>
    </cfRule>
    <cfRule type="containsText" dxfId="76" priority="52" operator="containsText" text="Large">
      <formula>NOT(ISERROR(SEARCH("Large",Q49)))</formula>
    </cfRule>
  </conditionalFormatting>
  <conditionalFormatting sqref="Q49">
    <cfRule type="containsText" dxfId="75" priority="47" operator="containsText" text="Small">
      <formula>NOT(ISERROR(SEARCH("Small",Q49)))</formula>
    </cfRule>
    <cfRule type="containsText" dxfId="74" priority="48" operator="containsText" text="Mid">
      <formula>NOT(ISERROR(SEARCH("Mid",Q49)))</formula>
    </cfRule>
    <cfRule type="containsText" dxfId="73" priority="49" operator="containsText" text="Large">
      <formula>NOT(ISERROR(SEARCH("Large",Q49)))</formula>
    </cfRule>
  </conditionalFormatting>
  <conditionalFormatting sqref="Q49">
    <cfRule type="containsText" dxfId="72" priority="44" operator="containsText" text="Small">
      <formula>NOT(ISERROR(SEARCH("Small",Q49)))</formula>
    </cfRule>
    <cfRule type="containsText" dxfId="71" priority="45" operator="containsText" text="Mid">
      <formula>NOT(ISERROR(SEARCH("Mid",Q49)))</formula>
    </cfRule>
    <cfRule type="containsText" dxfId="70" priority="46" operator="containsText" text="Large">
      <formula>NOT(ISERROR(SEARCH("Large",Q49)))</formula>
    </cfRule>
  </conditionalFormatting>
  <conditionalFormatting sqref="Q49">
    <cfRule type="containsText" dxfId="69" priority="41" operator="containsText" text="Small">
      <formula>NOT(ISERROR(SEARCH("Small",Q49)))</formula>
    </cfRule>
    <cfRule type="containsText" dxfId="68" priority="42" operator="containsText" text="Mid">
      <formula>NOT(ISERROR(SEARCH("Mid",Q49)))</formula>
    </cfRule>
    <cfRule type="containsText" dxfId="67" priority="43" operator="containsText" text="Large">
      <formula>NOT(ISERROR(SEARCH("Large",Q49)))</formula>
    </cfRule>
  </conditionalFormatting>
  <conditionalFormatting sqref="Q49">
    <cfRule type="containsText" dxfId="66" priority="38" operator="containsText" text="Small">
      <formula>NOT(ISERROR(SEARCH("Small",Q49)))</formula>
    </cfRule>
    <cfRule type="containsText" dxfId="65" priority="39" operator="containsText" text="Mid">
      <formula>NOT(ISERROR(SEARCH("Mid",Q49)))</formula>
    </cfRule>
    <cfRule type="containsText" dxfId="64" priority="40" operator="containsText" text="Large">
      <formula>NOT(ISERROR(SEARCH("Large",Q49)))</formula>
    </cfRule>
  </conditionalFormatting>
  <conditionalFormatting sqref="Q49">
    <cfRule type="containsText" dxfId="63" priority="35" operator="containsText" text="Small">
      <formula>NOT(ISERROR(SEARCH("Small",Q49)))</formula>
    </cfRule>
    <cfRule type="containsText" dxfId="62" priority="36" operator="containsText" text="Mid">
      <formula>NOT(ISERROR(SEARCH("Mid",Q49)))</formula>
    </cfRule>
    <cfRule type="containsText" dxfId="61" priority="37" operator="containsText" text="Large">
      <formula>NOT(ISERROR(SEARCH("Large",Q49)))</formula>
    </cfRule>
  </conditionalFormatting>
  <conditionalFormatting sqref="Q49">
    <cfRule type="containsText" dxfId="60" priority="32" operator="containsText" text="Small">
      <formula>NOT(ISERROR(SEARCH("Small",Q49)))</formula>
    </cfRule>
    <cfRule type="containsText" dxfId="59" priority="33" operator="containsText" text="Mid">
      <formula>NOT(ISERROR(SEARCH("Mid",Q49)))</formula>
    </cfRule>
    <cfRule type="containsText" dxfId="58" priority="34" operator="containsText" text="Large">
      <formula>NOT(ISERROR(SEARCH("Large",Q49)))</formula>
    </cfRule>
  </conditionalFormatting>
  <conditionalFormatting sqref="Q49">
    <cfRule type="containsText" dxfId="57" priority="29" operator="containsText" text="Small">
      <formula>NOT(ISERROR(SEARCH("Small",Q49)))</formula>
    </cfRule>
    <cfRule type="containsText" dxfId="56" priority="30" operator="containsText" text="Mid">
      <formula>NOT(ISERROR(SEARCH("Mid",Q49)))</formula>
    </cfRule>
    <cfRule type="containsText" dxfId="55" priority="31" operator="containsText" text="Large">
      <formula>NOT(ISERROR(SEARCH("Large",Q49)))</formula>
    </cfRule>
  </conditionalFormatting>
  <conditionalFormatting sqref="Q49">
    <cfRule type="containsText" dxfId="54" priority="26" operator="containsText" text="Small">
      <formula>NOT(ISERROR(SEARCH("Small",Q49)))</formula>
    </cfRule>
    <cfRule type="containsText" dxfId="53" priority="27" operator="containsText" text="Mid">
      <formula>NOT(ISERROR(SEARCH("Mid",Q49)))</formula>
    </cfRule>
    <cfRule type="containsText" dxfId="52" priority="28" operator="containsText" text="Large">
      <formula>NOT(ISERROR(SEARCH("Large",Q49)))</formula>
    </cfRule>
  </conditionalFormatting>
  <conditionalFormatting sqref="Q49">
    <cfRule type="containsText" dxfId="51" priority="23" operator="containsText" text="Small">
      <formula>NOT(ISERROR(SEARCH("Small",Q49)))</formula>
    </cfRule>
    <cfRule type="containsText" dxfId="50" priority="24" operator="containsText" text="Mid">
      <formula>NOT(ISERROR(SEARCH("Mid",Q49)))</formula>
    </cfRule>
    <cfRule type="containsText" dxfId="49" priority="25" operator="containsText" text="Large">
      <formula>NOT(ISERROR(SEARCH("Large",Q49)))</formula>
    </cfRule>
  </conditionalFormatting>
  <conditionalFormatting sqref="Q49">
    <cfRule type="containsText" dxfId="48" priority="20" operator="containsText" text="Small">
      <formula>NOT(ISERROR(SEARCH("Small",Q49)))</formula>
    </cfRule>
    <cfRule type="containsText" dxfId="47" priority="21" operator="containsText" text="Mid">
      <formula>NOT(ISERROR(SEARCH("Mid",Q49)))</formula>
    </cfRule>
    <cfRule type="containsText" dxfId="46" priority="22" operator="containsText" text="Large">
      <formula>NOT(ISERROR(SEARCH("Large",Q49)))</formula>
    </cfRule>
  </conditionalFormatting>
  <conditionalFormatting sqref="Q49">
    <cfRule type="containsText" dxfId="45" priority="17" operator="containsText" text="Small">
      <formula>NOT(ISERROR(SEARCH("Small",Q49)))</formula>
    </cfRule>
    <cfRule type="containsText" dxfId="44" priority="18" operator="containsText" text="Mid">
      <formula>NOT(ISERROR(SEARCH("Mid",Q49)))</formula>
    </cfRule>
    <cfRule type="containsText" dxfId="43" priority="19" operator="containsText" text="Large">
      <formula>NOT(ISERROR(SEARCH("Large",Q49)))</formula>
    </cfRule>
  </conditionalFormatting>
  <conditionalFormatting sqref="Q49">
    <cfRule type="containsText" dxfId="42" priority="14" operator="containsText" text="Small">
      <formula>NOT(ISERROR(SEARCH("Small",Q49)))</formula>
    </cfRule>
    <cfRule type="containsText" dxfId="41" priority="15" operator="containsText" text="Mid">
      <formula>NOT(ISERROR(SEARCH("Mid",Q49)))</formula>
    </cfRule>
    <cfRule type="containsText" dxfId="40" priority="16" operator="containsText" text="Large">
      <formula>NOT(ISERROR(SEARCH("Large",Q49)))</formula>
    </cfRule>
  </conditionalFormatting>
  <conditionalFormatting sqref="Q49">
    <cfRule type="containsText" dxfId="39" priority="11" operator="containsText" text="Small">
      <formula>NOT(ISERROR(SEARCH("Small",Q49)))</formula>
    </cfRule>
    <cfRule type="containsText" dxfId="38" priority="12" operator="containsText" text="Mid">
      <formula>NOT(ISERROR(SEARCH("Mid",Q49)))</formula>
    </cfRule>
    <cfRule type="containsText" dxfId="37" priority="13" operator="containsText" text="Large">
      <formula>NOT(ISERROR(SEARCH("Large",Q49)))</formula>
    </cfRule>
  </conditionalFormatting>
  <conditionalFormatting sqref="Q49">
    <cfRule type="containsText" dxfId="36" priority="8" operator="containsText" text="Small">
      <formula>NOT(ISERROR(SEARCH("Small",Q49)))</formula>
    </cfRule>
    <cfRule type="containsText" dxfId="35" priority="9" operator="containsText" text="Mid">
      <formula>NOT(ISERROR(SEARCH("Mid",Q49)))</formula>
    </cfRule>
    <cfRule type="containsText" dxfId="34" priority="10" operator="containsText" text="Large">
      <formula>NOT(ISERROR(SEARCH("Large",Q49)))</formula>
    </cfRule>
  </conditionalFormatting>
  <conditionalFormatting sqref="AH44:AH48">
    <cfRule type="cellIs" dxfId="33" priority="7" operator="lessThan">
      <formula>0</formula>
    </cfRule>
  </conditionalFormatting>
  <conditionalFormatting sqref="AH44:AH48">
    <cfRule type="cellIs" dxfId="32" priority="6" operator="greaterThan">
      <formula>0</formula>
    </cfRule>
  </conditionalFormatting>
  <conditionalFormatting sqref="AE50:AE51">
    <cfRule type="cellIs" dxfId="31" priority="5" operator="equal">
      <formula>"""Large"""</formula>
    </cfRule>
  </conditionalFormatting>
  <conditionalFormatting sqref="AE49">
    <cfRule type="containsText" dxfId="30" priority="4" operator="containsText" text="NA">
      <formula>NOT(ISERROR(SEARCH("NA",AE49)))</formula>
    </cfRule>
  </conditionalFormatting>
  <conditionalFormatting sqref="AE49">
    <cfRule type="containsText" dxfId="29" priority="1" operator="containsText" text="Small">
      <formula>NOT(ISERROR(SEARCH("Small",AE49)))</formula>
    </cfRule>
    <cfRule type="containsText" dxfId="28" priority="2" operator="containsText" text="Mid">
      <formula>NOT(ISERROR(SEARCH("Mid",AE49)))</formula>
    </cfRule>
    <cfRule type="containsText" dxfId="27" priority="3" operator="containsText" text="Large">
      <formula>NOT(ISERROR(SEARCH("Large",AE49)))</formula>
    </cfRule>
  </conditionalFormatting>
  <hyperlinks>
    <hyperlink ref="AH90" r:id="rId1"/>
    <hyperlink ref="AF90" r:id="rId2"/>
  </hyperlinks>
  <pageMargins left="0.7" right="0.7" top="0.75" bottom="0.75" header="0.3" footer="0.3"/>
  <pageSetup scale="50" orientation="portrait" horizontalDpi="429496729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660066"/>
  </sheetPr>
  <dimension ref="B1:Y269"/>
  <sheetViews>
    <sheetView showGridLines="0" workbookViewId="0">
      <pane ySplit="4" topLeftCell="A235" activePane="bottomLeft" state="frozen"/>
      <selection pane="bottomLeft" activeCell="G258" sqref="G258"/>
    </sheetView>
  </sheetViews>
  <sheetFormatPr baseColWidth="10" defaultColWidth="8.83203125" defaultRowHeight="13" x14ac:dyDescent="0.15"/>
  <cols>
    <col min="2" max="2" width="10.1640625" bestFit="1" customWidth="1"/>
    <col min="3" max="3" width="8.33203125" customWidth="1"/>
    <col min="4" max="4" width="9" customWidth="1"/>
    <col min="5" max="5" width="8.33203125" customWidth="1"/>
    <col min="6" max="6" width="7.33203125" bestFit="1" customWidth="1"/>
    <col min="7" max="8" width="9.83203125" customWidth="1"/>
    <col min="9" max="9" width="7.5" customWidth="1"/>
    <col min="14" max="14" width="12.6640625" bestFit="1" customWidth="1"/>
  </cols>
  <sheetData>
    <row r="1" spans="2:10" ht="14" thickBot="1" x14ac:dyDescent="0.2"/>
    <row r="2" spans="2:10" ht="19" thickBot="1" x14ac:dyDescent="0.25">
      <c r="B2" s="527" t="s">
        <v>7</v>
      </c>
      <c r="C2" s="528"/>
      <c r="D2" s="528"/>
      <c r="E2" s="528"/>
      <c r="F2" s="528"/>
      <c r="G2" s="528"/>
      <c r="H2" s="528"/>
      <c r="I2" s="528"/>
      <c r="J2" s="24"/>
    </row>
    <row r="3" spans="2:10" x14ac:dyDescent="0.15">
      <c r="B3" s="20"/>
      <c r="C3" s="21"/>
      <c r="D3" s="21"/>
      <c r="E3" s="21"/>
      <c r="F3" s="21"/>
      <c r="G3" s="21"/>
      <c r="H3" s="21"/>
      <c r="I3" s="21"/>
      <c r="J3" s="37"/>
    </row>
    <row r="4" spans="2:10" x14ac:dyDescent="0.15">
      <c r="B4" s="283" t="s">
        <v>108</v>
      </c>
      <c r="C4" s="284" t="s">
        <v>136</v>
      </c>
      <c r="D4" s="284" t="s">
        <v>109</v>
      </c>
      <c r="E4" s="284" t="s">
        <v>110</v>
      </c>
      <c r="F4" s="284" t="s">
        <v>57</v>
      </c>
      <c r="G4" s="285" t="s">
        <v>8</v>
      </c>
      <c r="H4" s="285" t="s">
        <v>9</v>
      </c>
      <c r="I4" s="284" t="s">
        <v>86</v>
      </c>
      <c r="J4" s="22"/>
    </row>
    <row r="5" spans="2:10" x14ac:dyDescent="0.15">
      <c r="B5" s="28">
        <v>37753</v>
      </c>
      <c r="C5" s="25" t="s">
        <v>87</v>
      </c>
      <c r="D5" s="25" t="s">
        <v>53</v>
      </c>
      <c r="E5" s="137">
        <v>20.04</v>
      </c>
      <c r="F5" s="25">
        <v>30</v>
      </c>
      <c r="G5" s="26">
        <f>F5*E5</f>
        <v>601.19999999999993</v>
      </c>
      <c r="H5" s="26">
        <v>0</v>
      </c>
      <c r="I5" s="30">
        <v>1</v>
      </c>
      <c r="J5" s="31"/>
    </row>
    <row r="6" spans="2:10" x14ac:dyDescent="0.15">
      <c r="B6" s="29"/>
      <c r="C6" s="25"/>
      <c r="D6" s="25"/>
      <c r="E6" s="137"/>
      <c r="F6" s="25"/>
      <c r="G6" s="27"/>
      <c r="H6" s="27"/>
      <c r="I6" s="25"/>
      <c r="J6" s="31"/>
    </row>
    <row r="7" spans="2:10" x14ac:dyDescent="0.15">
      <c r="B7" s="28">
        <v>38289</v>
      </c>
      <c r="C7" s="25" t="s">
        <v>87</v>
      </c>
      <c r="D7" s="25" t="s">
        <v>48</v>
      </c>
      <c r="E7" s="137">
        <v>12.95</v>
      </c>
      <c r="F7" s="25">
        <v>65</v>
      </c>
      <c r="G7" s="27">
        <f>E7*F7</f>
        <v>841.75</v>
      </c>
      <c r="H7" s="27">
        <v>10.99</v>
      </c>
      <c r="I7" s="32">
        <v>0.82</v>
      </c>
      <c r="J7" s="31"/>
    </row>
    <row r="8" spans="2:10" x14ac:dyDescent="0.15">
      <c r="B8" s="29"/>
      <c r="C8" s="25"/>
      <c r="D8" s="25"/>
      <c r="E8" s="137"/>
      <c r="F8" s="25"/>
      <c r="G8" s="27"/>
      <c r="H8" s="27"/>
      <c r="I8" s="25"/>
      <c r="J8" s="31"/>
    </row>
    <row r="9" spans="2:10" x14ac:dyDescent="0.15">
      <c r="B9" s="28">
        <v>38296</v>
      </c>
      <c r="C9" s="25" t="s">
        <v>10</v>
      </c>
      <c r="D9" s="25" t="s">
        <v>106</v>
      </c>
      <c r="E9" s="137">
        <v>33.1</v>
      </c>
      <c r="F9" s="25">
        <v>40</v>
      </c>
      <c r="G9" s="27">
        <f>E9*F9</f>
        <v>1324</v>
      </c>
      <c r="H9" s="27">
        <v>10.99</v>
      </c>
      <c r="I9" s="32">
        <v>0.79</v>
      </c>
      <c r="J9" s="31"/>
    </row>
    <row r="10" spans="2:10" x14ac:dyDescent="0.15">
      <c r="B10" s="29"/>
      <c r="C10" s="25"/>
      <c r="D10" s="25"/>
      <c r="E10" s="137"/>
      <c r="F10" s="25"/>
      <c r="G10" s="27"/>
      <c r="H10" s="27"/>
      <c r="I10" s="25"/>
      <c r="J10" s="31"/>
    </row>
    <row r="11" spans="2:10" x14ac:dyDescent="0.15">
      <c r="B11" s="28">
        <v>38296</v>
      </c>
      <c r="C11" s="25" t="s">
        <v>10</v>
      </c>
      <c r="D11" s="25" t="s">
        <v>40</v>
      </c>
      <c r="E11" s="137">
        <v>79.900000000000006</v>
      </c>
      <c r="F11" s="25">
        <v>20</v>
      </c>
      <c r="G11" s="27">
        <f>E11*F11</f>
        <v>1598</v>
      </c>
      <c r="H11" s="27">
        <v>10.99</v>
      </c>
      <c r="I11" s="32">
        <v>0.72</v>
      </c>
      <c r="J11" s="31"/>
    </row>
    <row r="12" spans="2:10" x14ac:dyDescent="0.15">
      <c r="B12" s="29"/>
      <c r="C12" s="25"/>
      <c r="D12" s="25"/>
      <c r="E12" s="137"/>
      <c r="F12" s="25"/>
      <c r="G12" s="27"/>
      <c r="H12" s="27"/>
      <c r="I12" s="25"/>
      <c r="J12" s="31"/>
    </row>
    <row r="13" spans="2:10" x14ac:dyDescent="0.15">
      <c r="B13" s="28">
        <v>38408</v>
      </c>
      <c r="C13" s="25" t="s">
        <v>10</v>
      </c>
      <c r="D13" s="25" t="s">
        <v>41</v>
      </c>
      <c r="E13" s="137">
        <v>35.369999999999997</v>
      </c>
      <c r="F13" s="25">
        <v>41</v>
      </c>
      <c r="G13" s="27">
        <f>E13*F13</f>
        <v>1450.1699999999998</v>
      </c>
      <c r="H13" s="27">
        <v>10.99</v>
      </c>
      <c r="I13" s="32">
        <v>0.75</v>
      </c>
      <c r="J13" s="31"/>
    </row>
    <row r="14" spans="2:10" x14ac:dyDescent="0.15">
      <c r="B14" s="29"/>
      <c r="C14" s="25"/>
      <c r="D14" s="25"/>
      <c r="E14" s="137"/>
      <c r="F14" s="25"/>
      <c r="G14" s="27"/>
      <c r="H14" s="27"/>
      <c r="I14" s="25"/>
      <c r="J14" s="31"/>
    </row>
    <row r="15" spans="2:10" x14ac:dyDescent="0.15">
      <c r="B15" s="28">
        <v>38408</v>
      </c>
      <c r="C15" s="25" t="s">
        <v>87</v>
      </c>
      <c r="D15" s="25" t="s">
        <v>98</v>
      </c>
      <c r="E15" s="137">
        <v>30.65</v>
      </c>
      <c r="F15" s="25">
        <v>42</v>
      </c>
      <c r="G15" s="27">
        <f>E15*F15</f>
        <v>1287.3</v>
      </c>
      <c r="H15" s="27">
        <v>10.99</v>
      </c>
      <c r="I15" s="32">
        <v>0.84</v>
      </c>
      <c r="J15" s="31"/>
    </row>
    <row r="16" spans="2:10" x14ac:dyDescent="0.15">
      <c r="B16" s="20"/>
      <c r="E16" s="340"/>
      <c r="J16" s="31"/>
    </row>
    <row r="17" spans="2:10" x14ac:dyDescent="0.15">
      <c r="B17" s="28">
        <v>38670</v>
      </c>
      <c r="C17" s="25" t="s">
        <v>10</v>
      </c>
      <c r="D17" s="25" t="s">
        <v>73</v>
      </c>
      <c r="E17" s="137">
        <v>27.8</v>
      </c>
      <c r="F17" s="25">
        <v>21</v>
      </c>
      <c r="G17" s="27">
        <f>F17*E17</f>
        <v>583.80000000000007</v>
      </c>
      <c r="H17" s="25">
        <v>9.99</v>
      </c>
      <c r="I17" s="33">
        <v>0.9</v>
      </c>
      <c r="J17" s="31"/>
    </row>
    <row r="18" spans="2:10" x14ac:dyDescent="0.15">
      <c r="B18" s="20"/>
      <c r="E18" s="340"/>
      <c r="J18" s="31"/>
    </row>
    <row r="19" spans="2:10" x14ac:dyDescent="0.15">
      <c r="B19" s="28">
        <v>38744</v>
      </c>
      <c r="C19" s="25" t="s">
        <v>87</v>
      </c>
      <c r="D19" s="25" t="s">
        <v>51</v>
      </c>
      <c r="E19" s="137">
        <v>16.302</v>
      </c>
      <c r="F19" s="25">
        <v>122</v>
      </c>
      <c r="G19" s="27">
        <f>E19*F19</f>
        <v>1988.8440000000001</v>
      </c>
      <c r="H19" s="27">
        <v>10.99</v>
      </c>
      <c r="I19" s="32">
        <v>0.97</v>
      </c>
      <c r="J19" s="31"/>
    </row>
    <row r="20" spans="2:10" x14ac:dyDescent="0.15">
      <c r="B20" s="29"/>
      <c r="C20" s="25"/>
      <c r="D20" s="25"/>
      <c r="E20" s="137"/>
      <c r="F20" s="25"/>
      <c r="G20" s="27"/>
      <c r="H20" s="27"/>
      <c r="I20" s="25"/>
      <c r="J20" s="31"/>
    </row>
    <row r="21" spans="2:10" x14ac:dyDescent="0.15">
      <c r="B21" s="28">
        <v>38989</v>
      </c>
      <c r="C21" s="25" t="s">
        <v>10</v>
      </c>
      <c r="D21" s="25" t="s">
        <v>42</v>
      </c>
      <c r="E21" s="137">
        <v>72.66</v>
      </c>
      <c r="F21" s="25">
        <v>40</v>
      </c>
      <c r="G21" s="27">
        <f>E21*F21</f>
        <v>2906.3999999999996</v>
      </c>
      <c r="H21" s="27">
        <v>10.99</v>
      </c>
      <c r="I21" s="32">
        <f>40/43</f>
        <v>0.93023255813953487</v>
      </c>
      <c r="J21" s="31"/>
    </row>
    <row r="22" spans="2:10" x14ac:dyDescent="0.15">
      <c r="B22" s="28"/>
      <c r="C22" s="25"/>
      <c r="D22" s="25"/>
      <c r="E22" s="137"/>
      <c r="F22" s="25"/>
      <c r="G22" s="27"/>
      <c r="H22" s="27"/>
      <c r="I22" s="32"/>
      <c r="J22" s="31"/>
    </row>
    <row r="23" spans="2:10" x14ac:dyDescent="0.15">
      <c r="B23" s="28">
        <v>39010</v>
      </c>
      <c r="C23" s="25" t="s">
        <v>87</v>
      </c>
      <c r="D23" s="25" t="s">
        <v>43</v>
      </c>
      <c r="E23" s="137">
        <v>9.3699999999999992</v>
      </c>
      <c r="F23" s="25">
        <v>190.13200000000001</v>
      </c>
      <c r="G23" s="27">
        <f>E23*F23</f>
        <v>1781.53684</v>
      </c>
      <c r="H23" s="27">
        <v>0</v>
      </c>
      <c r="I23" s="32">
        <v>0.98</v>
      </c>
      <c r="J23" s="31"/>
    </row>
    <row r="24" spans="2:10" x14ac:dyDescent="0.15">
      <c r="B24" s="28"/>
      <c r="C24" s="25"/>
      <c r="D24" s="25"/>
      <c r="E24" s="137"/>
      <c r="F24" s="25"/>
      <c r="G24" s="27"/>
      <c r="H24" s="27"/>
      <c r="I24" s="32"/>
      <c r="J24" s="31"/>
    </row>
    <row r="25" spans="2:10" x14ac:dyDescent="0.15">
      <c r="B25" s="28">
        <v>39010</v>
      </c>
      <c r="C25" s="25" t="s">
        <v>87</v>
      </c>
      <c r="D25" s="25" t="s">
        <v>83</v>
      </c>
      <c r="E25" s="137">
        <v>8.39</v>
      </c>
      <c r="F25" s="25">
        <v>217.85499999999999</v>
      </c>
      <c r="G25" s="27">
        <f>E25*F25</f>
        <v>1827.8034500000001</v>
      </c>
      <c r="H25" s="27">
        <v>0</v>
      </c>
      <c r="I25" s="32">
        <v>0.84</v>
      </c>
      <c r="J25" s="31"/>
    </row>
    <row r="26" spans="2:10" x14ac:dyDescent="0.15">
      <c r="B26" s="28"/>
      <c r="C26" s="25"/>
      <c r="D26" s="25"/>
      <c r="E26" s="137"/>
      <c r="F26" s="25"/>
      <c r="G26" s="25"/>
      <c r="H26" s="25"/>
      <c r="I26" s="32"/>
      <c r="J26" s="31"/>
    </row>
    <row r="27" spans="2:10" x14ac:dyDescent="0.15">
      <c r="B27" s="28">
        <v>39031</v>
      </c>
      <c r="C27" s="25" t="s">
        <v>87</v>
      </c>
      <c r="D27" s="25" t="s">
        <v>50</v>
      </c>
      <c r="E27" s="137">
        <v>20.61</v>
      </c>
      <c r="F27" s="25">
        <v>50</v>
      </c>
      <c r="G27" s="27">
        <f>F27*E27</f>
        <v>1030.5</v>
      </c>
      <c r="H27" s="25">
        <v>9.99</v>
      </c>
      <c r="I27" s="32">
        <v>0.82</v>
      </c>
      <c r="J27" s="31"/>
    </row>
    <row r="28" spans="2:10" x14ac:dyDescent="0.15">
      <c r="B28" s="29"/>
      <c r="C28" s="21"/>
      <c r="D28" s="21"/>
      <c r="E28" s="137"/>
      <c r="F28" s="21"/>
      <c r="G28" s="21"/>
      <c r="H28" s="21"/>
      <c r="I28" s="21"/>
      <c r="J28" s="31"/>
    </row>
    <row r="29" spans="2:10" x14ac:dyDescent="0.15">
      <c r="B29" s="28">
        <v>39115</v>
      </c>
      <c r="C29" s="25" t="s">
        <v>10</v>
      </c>
      <c r="D29" s="25" t="s">
        <v>34</v>
      </c>
      <c r="E29" s="137">
        <v>41</v>
      </c>
      <c r="F29" s="25">
        <v>45</v>
      </c>
      <c r="G29" s="27">
        <f>F29*E29</f>
        <v>1845</v>
      </c>
      <c r="H29" s="25">
        <v>9.99</v>
      </c>
      <c r="I29" s="33">
        <v>0.9</v>
      </c>
      <c r="J29" s="31"/>
    </row>
    <row r="30" spans="2:10" x14ac:dyDescent="0.15">
      <c r="B30" s="29"/>
      <c r="C30" s="25"/>
      <c r="D30" s="25"/>
      <c r="E30" s="137"/>
      <c r="F30" s="25"/>
      <c r="G30" s="27"/>
      <c r="H30" s="25"/>
      <c r="I30" s="25"/>
      <c r="J30" s="31"/>
    </row>
    <row r="31" spans="2:10" x14ac:dyDescent="0.15">
      <c r="B31" s="28">
        <v>39115</v>
      </c>
      <c r="C31" s="25" t="s">
        <v>10</v>
      </c>
      <c r="D31" s="25" t="s">
        <v>35</v>
      </c>
      <c r="E31" s="137">
        <v>51.92</v>
      </c>
      <c r="F31" s="25">
        <v>35</v>
      </c>
      <c r="G31" s="27">
        <f>F31*E31</f>
        <v>1817.2</v>
      </c>
      <c r="H31" s="25">
        <v>9.99</v>
      </c>
      <c r="I31" s="33">
        <v>0.8</v>
      </c>
      <c r="J31" s="31"/>
    </row>
    <row r="32" spans="2:10" x14ac:dyDescent="0.15">
      <c r="B32" s="29"/>
      <c r="C32" s="25"/>
      <c r="D32" s="25"/>
      <c r="E32" s="137"/>
      <c r="F32" s="25"/>
      <c r="G32" s="27"/>
      <c r="H32" s="25"/>
      <c r="I32" s="25"/>
      <c r="J32" s="31"/>
    </row>
    <row r="33" spans="2:10" x14ac:dyDescent="0.15">
      <c r="B33" s="28">
        <v>39136</v>
      </c>
      <c r="C33" s="25" t="s">
        <v>87</v>
      </c>
      <c r="D33" s="25" t="s">
        <v>20</v>
      </c>
      <c r="E33" s="137">
        <v>29.122499999999999</v>
      </c>
      <c r="F33" s="25">
        <v>38</v>
      </c>
      <c r="G33" s="27">
        <f>F33*E33</f>
        <v>1106.655</v>
      </c>
      <c r="H33" s="25">
        <v>9.99</v>
      </c>
      <c r="I33" s="33">
        <v>0.85</v>
      </c>
      <c r="J33" s="22"/>
    </row>
    <row r="34" spans="2:10" x14ac:dyDescent="0.15">
      <c r="B34" s="29"/>
      <c r="C34" s="25"/>
      <c r="D34" s="25"/>
      <c r="E34" s="137"/>
      <c r="F34" s="25"/>
      <c r="G34" s="25"/>
      <c r="H34" s="25"/>
      <c r="I34" s="25"/>
      <c r="J34" s="31"/>
    </row>
    <row r="35" spans="2:10" x14ac:dyDescent="0.15">
      <c r="B35" s="28">
        <v>39373</v>
      </c>
      <c r="C35" s="25" t="s">
        <v>87</v>
      </c>
      <c r="D35" s="25" t="s">
        <v>55</v>
      </c>
      <c r="E35" s="137">
        <v>243.55</v>
      </c>
      <c r="F35" s="25">
        <v>13</v>
      </c>
      <c r="G35" s="27">
        <f>F35*E35</f>
        <v>3166.15</v>
      </c>
      <c r="H35" s="25">
        <v>9.99</v>
      </c>
      <c r="I35" s="33">
        <v>0.98</v>
      </c>
      <c r="J35" s="31"/>
    </row>
    <row r="36" spans="2:10" x14ac:dyDescent="0.15">
      <c r="B36" s="29"/>
      <c r="C36" s="21"/>
      <c r="D36" s="21"/>
      <c r="E36" s="137"/>
      <c r="F36" s="21"/>
      <c r="G36" s="27"/>
      <c r="H36" s="21"/>
      <c r="I36" s="21"/>
      <c r="J36" s="22"/>
    </row>
    <row r="37" spans="2:10" x14ac:dyDescent="0.15">
      <c r="B37" s="28">
        <v>39387</v>
      </c>
      <c r="C37" s="25" t="s">
        <v>10</v>
      </c>
      <c r="D37" s="25" t="s">
        <v>37</v>
      </c>
      <c r="E37" s="137">
        <v>24.53</v>
      </c>
      <c r="F37" s="25">
        <v>100</v>
      </c>
      <c r="G37" s="27">
        <f>F37*E37</f>
        <v>2453</v>
      </c>
      <c r="H37" s="36">
        <v>9.99</v>
      </c>
      <c r="I37" s="33">
        <v>0.8</v>
      </c>
      <c r="J37" s="22"/>
    </row>
    <row r="38" spans="2:10" x14ac:dyDescent="0.15">
      <c r="B38" s="29"/>
      <c r="C38" s="21"/>
      <c r="D38" s="21"/>
      <c r="E38" s="137"/>
      <c r="F38" s="21"/>
      <c r="G38" s="21"/>
      <c r="H38" s="21"/>
      <c r="I38" s="21"/>
      <c r="J38" s="22"/>
    </row>
    <row r="39" spans="2:10" x14ac:dyDescent="0.15">
      <c r="B39" s="28">
        <v>39850</v>
      </c>
      <c r="C39" s="25" t="s">
        <v>10</v>
      </c>
      <c r="D39" s="25" t="s">
        <v>77</v>
      </c>
      <c r="E39" s="137">
        <v>62.69</v>
      </c>
      <c r="F39" s="25">
        <v>25</v>
      </c>
      <c r="G39" s="27">
        <v>1567.29</v>
      </c>
      <c r="H39" s="36">
        <v>9.99</v>
      </c>
      <c r="I39" s="33">
        <v>0.96</v>
      </c>
      <c r="J39" s="22"/>
    </row>
    <row r="40" spans="2:10" x14ac:dyDescent="0.15">
      <c r="B40" s="28"/>
      <c r="C40" s="25"/>
      <c r="D40" s="25"/>
      <c r="E40" s="137"/>
      <c r="F40" s="25"/>
      <c r="G40" s="36"/>
      <c r="H40" s="36"/>
      <c r="I40" s="33"/>
      <c r="J40" s="22"/>
    </row>
    <row r="41" spans="2:10" x14ac:dyDescent="0.15">
      <c r="B41" s="139">
        <v>40094</v>
      </c>
      <c r="C41" s="140" t="s">
        <v>12</v>
      </c>
      <c r="D41" s="140" t="s">
        <v>73</v>
      </c>
      <c r="E41" s="141">
        <v>2.7</v>
      </c>
      <c r="F41" s="142">
        <v>100</v>
      </c>
      <c r="G41" s="141">
        <v>270</v>
      </c>
      <c r="H41" s="142">
        <v>9.99</v>
      </c>
      <c r="I41" s="143">
        <v>0.91500000000000004</v>
      </c>
      <c r="J41" s="144" t="s">
        <v>85</v>
      </c>
    </row>
    <row r="42" spans="2:10" x14ac:dyDescent="0.15">
      <c r="B42" s="28"/>
      <c r="C42" s="135"/>
      <c r="D42" s="135"/>
      <c r="E42" s="137"/>
      <c r="F42" s="25"/>
      <c r="G42" s="138"/>
      <c r="H42" s="36"/>
      <c r="I42" s="33"/>
      <c r="J42" s="22"/>
    </row>
    <row r="43" spans="2:10" x14ac:dyDescent="0.15">
      <c r="B43" s="28">
        <v>40108</v>
      </c>
      <c r="C43" s="135" t="s">
        <v>87</v>
      </c>
      <c r="D43" s="135" t="s">
        <v>17</v>
      </c>
      <c r="E43" s="137">
        <v>20.190000000000001</v>
      </c>
      <c r="F43" s="25">
        <v>22</v>
      </c>
      <c r="G43" s="27">
        <v>434.17</v>
      </c>
      <c r="H43" s="36">
        <v>9.99</v>
      </c>
      <c r="I43" s="33">
        <v>0.95</v>
      </c>
      <c r="J43" s="22"/>
    </row>
    <row r="44" spans="2:10" x14ac:dyDescent="0.15">
      <c r="B44" s="28"/>
      <c r="C44" s="135"/>
      <c r="D44" s="135"/>
      <c r="E44" s="137"/>
      <c r="F44" s="25"/>
      <c r="G44" s="27"/>
      <c r="H44" s="36"/>
      <c r="I44" s="33"/>
      <c r="J44" s="22"/>
    </row>
    <row r="45" spans="2:10" x14ac:dyDescent="0.15">
      <c r="B45" s="28">
        <v>40122</v>
      </c>
      <c r="C45" s="135" t="s">
        <v>10</v>
      </c>
      <c r="D45" s="135" t="s">
        <v>100</v>
      </c>
      <c r="E45" s="137">
        <v>32.72</v>
      </c>
      <c r="F45" s="25">
        <v>50</v>
      </c>
      <c r="G45" s="27">
        <v>1645.99</v>
      </c>
      <c r="H45" s="36">
        <v>9.99</v>
      </c>
      <c r="I45" s="33">
        <v>0.75</v>
      </c>
      <c r="J45" s="22"/>
    </row>
    <row r="46" spans="2:10" x14ac:dyDescent="0.15">
      <c r="B46" s="28"/>
      <c r="C46" s="135"/>
      <c r="D46" s="135"/>
      <c r="E46" s="137"/>
      <c r="F46" s="25"/>
      <c r="G46" s="27"/>
      <c r="H46" s="36"/>
      <c r="I46" s="33"/>
      <c r="J46" s="22"/>
    </row>
    <row r="47" spans="2:10" x14ac:dyDescent="0.15">
      <c r="B47" s="28">
        <v>40129</v>
      </c>
      <c r="C47" s="135" t="s">
        <v>87</v>
      </c>
      <c r="D47" s="135" t="s">
        <v>40</v>
      </c>
      <c r="E47" s="137">
        <v>77.22</v>
      </c>
      <c r="F47" s="25">
        <v>21</v>
      </c>
      <c r="G47" s="27">
        <v>1621.62</v>
      </c>
      <c r="H47" s="36">
        <v>9.99</v>
      </c>
      <c r="I47" s="33">
        <v>0.96</v>
      </c>
      <c r="J47" s="22"/>
    </row>
    <row r="48" spans="2:10" x14ac:dyDescent="0.15">
      <c r="B48" s="28"/>
      <c r="C48" s="135"/>
      <c r="D48" s="135"/>
      <c r="E48" s="137"/>
      <c r="F48" s="25"/>
      <c r="G48" s="27"/>
      <c r="H48" s="36"/>
      <c r="I48" s="33"/>
      <c r="J48" s="22"/>
    </row>
    <row r="49" spans="2:10" x14ac:dyDescent="0.15">
      <c r="B49" s="28">
        <v>40129</v>
      </c>
      <c r="C49" s="135" t="s">
        <v>87</v>
      </c>
      <c r="D49" s="135" t="s">
        <v>18</v>
      </c>
      <c r="E49" s="137">
        <v>39.06</v>
      </c>
      <c r="F49" s="25">
        <v>46</v>
      </c>
      <c r="G49" s="27">
        <v>1796.76</v>
      </c>
      <c r="H49" s="36">
        <v>9.99</v>
      </c>
      <c r="I49" s="33">
        <v>0.96</v>
      </c>
      <c r="J49" s="22"/>
    </row>
    <row r="50" spans="2:10" x14ac:dyDescent="0.15">
      <c r="B50" s="28"/>
      <c r="C50" s="135"/>
      <c r="D50" s="135"/>
      <c r="E50" s="137"/>
      <c r="F50" s="25"/>
      <c r="G50" s="27"/>
      <c r="H50" s="36"/>
      <c r="I50" s="33"/>
      <c r="J50" s="22"/>
    </row>
    <row r="51" spans="2:10" x14ac:dyDescent="0.15">
      <c r="B51" s="28">
        <v>40129</v>
      </c>
      <c r="C51" s="135" t="s">
        <v>10</v>
      </c>
      <c r="D51" s="135" t="s">
        <v>102</v>
      </c>
      <c r="E51" s="137">
        <v>25.46</v>
      </c>
      <c r="F51" s="25">
        <v>60</v>
      </c>
      <c r="G51" s="27">
        <v>1527.6</v>
      </c>
      <c r="H51" s="36">
        <v>9.99</v>
      </c>
      <c r="I51" s="33">
        <v>0.68</v>
      </c>
      <c r="J51" s="22"/>
    </row>
    <row r="52" spans="2:10" x14ac:dyDescent="0.15">
      <c r="B52" s="28"/>
      <c r="C52" s="135"/>
      <c r="D52" s="135"/>
      <c r="E52" s="137"/>
      <c r="F52" s="25"/>
      <c r="G52" s="27"/>
      <c r="H52" s="36"/>
      <c r="I52" s="33"/>
      <c r="J52" s="22"/>
    </row>
    <row r="53" spans="2:10" x14ac:dyDescent="0.15">
      <c r="B53" s="28">
        <v>40129</v>
      </c>
      <c r="C53" s="135" t="s">
        <v>10</v>
      </c>
      <c r="D53" s="135" t="s">
        <v>101</v>
      </c>
      <c r="E53" s="137">
        <v>29.24</v>
      </c>
      <c r="F53" s="25">
        <v>52</v>
      </c>
      <c r="G53" s="27">
        <v>1520.48</v>
      </c>
      <c r="H53" s="36">
        <v>9.99</v>
      </c>
      <c r="I53" s="146">
        <v>0.73</v>
      </c>
      <c r="J53" s="22"/>
    </row>
    <row r="54" spans="2:10" x14ac:dyDescent="0.15">
      <c r="B54" s="28"/>
      <c r="C54" s="135"/>
      <c r="D54" s="135"/>
      <c r="E54" s="137"/>
      <c r="F54" s="25"/>
      <c r="G54" s="27"/>
      <c r="H54" s="36"/>
      <c r="I54" s="146"/>
      <c r="J54" s="22"/>
    </row>
    <row r="55" spans="2:10" x14ac:dyDescent="0.15">
      <c r="B55" s="28">
        <v>40210</v>
      </c>
      <c r="C55" s="135" t="s">
        <v>10</v>
      </c>
      <c r="D55" s="135" t="s">
        <v>45</v>
      </c>
      <c r="E55" s="340">
        <v>77.89</v>
      </c>
      <c r="F55" s="25">
        <v>26</v>
      </c>
      <c r="G55" s="27">
        <f>E55*F55</f>
        <v>2025.14</v>
      </c>
      <c r="H55" s="36">
        <v>9.99</v>
      </c>
      <c r="I55" s="146">
        <v>0.78</v>
      </c>
      <c r="J55" s="22"/>
    </row>
    <row r="56" spans="2:10" x14ac:dyDescent="0.15">
      <c r="B56" s="28"/>
      <c r="C56" s="135"/>
      <c r="D56" s="135"/>
      <c r="E56" s="137"/>
      <c r="F56" s="25"/>
      <c r="G56" s="27"/>
      <c r="H56" s="36"/>
      <c r="I56" s="146"/>
      <c r="J56" s="22"/>
    </row>
    <row r="57" spans="2:10" x14ac:dyDescent="0.15">
      <c r="B57" s="28">
        <v>40210</v>
      </c>
      <c r="C57" s="135" t="s">
        <v>87</v>
      </c>
      <c r="D57" s="135" t="s">
        <v>95</v>
      </c>
      <c r="E57" s="340">
        <v>3.36</v>
      </c>
      <c r="F57" s="25">
        <v>33</v>
      </c>
      <c r="G57" s="27">
        <f>E57*F57</f>
        <v>110.88</v>
      </c>
      <c r="H57" s="36">
        <v>9.99</v>
      </c>
      <c r="I57" s="146">
        <v>0.73</v>
      </c>
      <c r="J57" s="22"/>
    </row>
    <row r="58" spans="2:10" x14ac:dyDescent="0.15">
      <c r="B58" s="28"/>
      <c r="C58" s="135"/>
      <c r="D58" s="135"/>
      <c r="E58" s="340"/>
      <c r="F58" s="25"/>
      <c r="G58" s="27"/>
      <c r="H58" s="36"/>
      <c r="I58" s="146"/>
      <c r="J58" s="22"/>
    </row>
    <row r="59" spans="2:10" x14ac:dyDescent="0.15">
      <c r="B59" s="28">
        <v>40214</v>
      </c>
      <c r="C59" s="135" t="s">
        <v>87</v>
      </c>
      <c r="D59" s="135" t="s">
        <v>37</v>
      </c>
      <c r="E59" s="340">
        <v>9.34</v>
      </c>
      <c r="F59" s="25">
        <v>250</v>
      </c>
      <c r="G59" s="27">
        <f>E59*F59</f>
        <v>2335</v>
      </c>
      <c r="H59" s="36">
        <v>9.99</v>
      </c>
      <c r="I59" s="146">
        <v>0.78</v>
      </c>
      <c r="J59" s="22"/>
    </row>
    <row r="60" spans="2:10" x14ac:dyDescent="0.15">
      <c r="B60" s="28"/>
      <c r="C60" s="135"/>
      <c r="D60" s="135"/>
      <c r="E60" s="340"/>
      <c r="F60" s="25"/>
      <c r="G60" s="27"/>
      <c r="H60" s="36"/>
      <c r="I60" s="146"/>
      <c r="J60" s="22"/>
    </row>
    <row r="61" spans="2:10" x14ac:dyDescent="0.15">
      <c r="B61" s="28">
        <v>40242</v>
      </c>
      <c r="C61" s="135" t="s">
        <v>10</v>
      </c>
      <c r="D61" s="135" t="s">
        <v>107</v>
      </c>
      <c r="E61" s="340">
        <v>50</v>
      </c>
      <c r="F61" s="25">
        <v>25</v>
      </c>
      <c r="G61" s="27">
        <f>E61*F61</f>
        <v>1250</v>
      </c>
      <c r="H61" s="36">
        <v>9.99</v>
      </c>
      <c r="I61" s="146">
        <v>0.82</v>
      </c>
      <c r="J61" s="22"/>
    </row>
    <row r="62" spans="2:10" x14ac:dyDescent="0.15">
      <c r="B62" s="28"/>
      <c r="C62" s="135"/>
      <c r="D62" s="135"/>
      <c r="E62" s="340"/>
      <c r="F62" s="25"/>
      <c r="G62" s="27"/>
      <c r="H62" s="36"/>
      <c r="I62" s="146"/>
      <c r="J62" s="22"/>
    </row>
    <row r="63" spans="2:10" x14ac:dyDescent="0.15">
      <c r="B63" s="28"/>
      <c r="C63" s="135" t="s">
        <v>10</v>
      </c>
      <c r="D63" s="135" t="s">
        <v>95</v>
      </c>
      <c r="E63" s="340">
        <v>1.1399999999999999</v>
      </c>
      <c r="F63" s="25">
        <v>800</v>
      </c>
      <c r="G63" s="27">
        <f>E63*F63</f>
        <v>911.99999999999989</v>
      </c>
      <c r="H63" s="36"/>
      <c r="I63" s="146"/>
      <c r="J63" s="152" t="s">
        <v>46</v>
      </c>
    </row>
    <row r="64" spans="2:10" x14ac:dyDescent="0.15">
      <c r="B64" s="28"/>
      <c r="D64" s="135"/>
      <c r="E64" s="340"/>
      <c r="F64" s="25"/>
      <c r="G64" s="27"/>
      <c r="H64" s="36"/>
      <c r="I64" s="146"/>
      <c r="J64" s="152"/>
    </row>
    <row r="65" spans="2:10" x14ac:dyDescent="0.15">
      <c r="B65" s="28">
        <v>40466</v>
      </c>
      <c r="C65" s="135" t="s">
        <v>27</v>
      </c>
      <c r="D65" s="135" t="s">
        <v>28</v>
      </c>
      <c r="E65" s="340">
        <v>23.93</v>
      </c>
      <c r="F65" s="25">
        <v>100</v>
      </c>
      <c r="G65" s="27">
        <f>E65*F65</f>
        <v>2393</v>
      </c>
      <c r="H65" s="36">
        <v>9.99</v>
      </c>
      <c r="I65" s="146">
        <v>1</v>
      </c>
      <c r="J65" s="152"/>
    </row>
    <row r="66" spans="2:10" x14ac:dyDescent="0.15">
      <c r="B66" s="28"/>
      <c r="C66" s="135"/>
      <c r="D66" s="135"/>
      <c r="E66" s="340"/>
      <c r="F66" s="25"/>
      <c r="G66" s="27"/>
      <c r="H66" s="36"/>
      <c r="I66" s="146"/>
      <c r="J66" s="152"/>
    </row>
    <row r="67" spans="2:10" x14ac:dyDescent="0.15">
      <c r="B67" s="28">
        <v>40466</v>
      </c>
      <c r="C67" s="135" t="s">
        <v>27</v>
      </c>
      <c r="D67" s="135" t="s">
        <v>29</v>
      </c>
      <c r="E67" s="340">
        <v>74.08</v>
      </c>
      <c r="F67" s="25">
        <v>43</v>
      </c>
      <c r="G67" s="27">
        <f>E67*F67</f>
        <v>3185.44</v>
      </c>
      <c r="H67" s="36">
        <v>9.99</v>
      </c>
      <c r="I67" s="146">
        <v>0.94</v>
      </c>
      <c r="J67" s="152"/>
    </row>
    <row r="68" spans="2:10" x14ac:dyDescent="0.15">
      <c r="B68" s="28"/>
      <c r="C68" s="135"/>
      <c r="D68" s="135"/>
      <c r="E68" s="340"/>
      <c r="F68" s="25"/>
      <c r="G68" s="27"/>
      <c r="H68" s="36"/>
      <c r="I68" s="146"/>
      <c r="J68" s="152"/>
    </row>
    <row r="69" spans="2:10" x14ac:dyDescent="0.15">
      <c r="B69" s="28">
        <v>40466</v>
      </c>
      <c r="C69" s="135" t="s">
        <v>30</v>
      </c>
      <c r="D69" s="135" t="s">
        <v>31</v>
      </c>
      <c r="E69" s="340">
        <v>14.43</v>
      </c>
      <c r="F69" s="25">
        <v>117</v>
      </c>
      <c r="G69" s="27">
        <f>E69*F69</f>
        <v>1688.31</v>
      </c>
      <c r="H69" s="36">
        <v>9.99</v>
      </c>
      <c r="I69" s="146">
        <v>0.97</v>
      </c>
      <c r="J69" s="152"/>
    </row>
    <row r="70" spans="2:10" x14ac:dyDescent="0.15">
      <c r="B70" s="28"/>
      <c r="C70" s="135"/>
      <c r="D70" s="135"/>
      <c r="E70" s="340"/>
      <c r="F70" s="25"/>
      <c r="G70" s="27"/>
      <c r="H70" s="36"/>
      <c r="I70" s="146"/>
      <c r="J70" s="152"/>
    </row>
    <row r="71" spans="2:10" x14ac:dyDescent="0.15">
      <c r="B71" s="28">
        <v>40480</v>
      </c>
      <c r="C71" s="162" t="s">
        <v>10</v>
      </c>
      <c r="D71" s="162" t="s">
        <v>137</v>
      </c>
      <c r="E71" s="340">
        <v>56.3</v>
      </c>
      <c r="F71" s="25">
        <v>27</v>
      </c>
      <c r="G71" s="27">
        <f>E71*F71</f>
        <v>1520.1</v>
      </c>
      <c r="H71" s="36">
        <v>9.99</v>
      </c>
      <c r="I71" s="146">
        <v>0.93</v>
      </c>
      <c r="J71" s="152"/>
    </row>
    <row r="72" spans="2:10" x14ac:dyDescent="0.15">
      <c r="B72" s="28"/>
      <c r="C72" s="135"/>
      <c r="D72" s="135"/>
      <c r="E72" s="340"/>
      <c r="F72" s="25"/>
      <c r="G72" s="27"/>
      <c r="H72" s="36"/>
      <c r="I72" s="146"/>
      <c r="J72" s="152"/>
    </row>
    <row r="73" spans="2:10" x14ac:dyDescent="0.15">
      <c r="B73" s="28">
        <v>40480</v>
      </c>
      <c r="C73" s="162" t="s">
        <v>10</v>
      </c>
      <c r="D73" s="162" t="s">
        <v>142</v>
      </c>
      <c r="E73" s="340">
        <v>10.89</v>
      </c>
      <c r="F73" s="25">
        <v>100</v>
      </c>
      <c r="G73" s="27">
        <f>E73*F73</f>
        <v>1089</v>
      </c>
      <c r="H73" s="36">
        <v>9.99</v>
      </c>
      <c r="I73" s="146"/>
      <c r="J73" s="152"/>
    </row>
    <row r="74" spans="2:10" x14ac:dyDescent="0.15">
      <c r="B74" s="28"/>
      <c r="C74" s="135"/>
      <c r="D74" s="135"/>
      <c r="E74" s="340"/>
      <c r="F74" s="25"/>
      <c r="G74" s="27"/>
      <c r="H74" s="36"/>
      <c r="I74" s="146"/>
      <c r="J74" s="152"/>
    </row>
    <row r="75" spans="2:10" x14ac:dyDescent="0.15">
      <c r="B75" s="28">
        <v>40616</v>
      </c>
      <c r="C75" s="135" t="s">
        <v>27</v>
      </c>
      <c r="D75" s="162" t="s">
        <v>100</v>
      </c>
      <c r="E75" s="340">
        <v>46.6</v>
      </c>
      <c r="F75" s="25">
        <v>51</v>
      </c>
      <c r="G75" s="27">
        <f>F75*E75</f>
        <v>2376.6</v>
      </c>
      <c r="H75" s="36">
        <v>9.99</v>
      </c>
      <c r="I75" s="146">
        <v>0.86</v>
      </c>
      <c r="J75" s="152"/>
    </row>
    <row r="76" spans="2:10" x14ac:dyDescent="0.15">
      <c r="B76" s="28"/>
      <c r="C76" s="162"/>
      <c r="D76" s="162"/>
      <c r="E76" s="340"/>
      <c r="F76" s="25"/>
      <c r="G76" s="27"/>
      <c r="H76" s="36"/>
      <c r="I76" s="146"/>
      <c r="J76" s="152"/>
    </row>
    <row r="77" spans="2:10" x14ac:dyDescent="0.15">
      <c r="B77" s="28">
        <v>40616</v>
      </c>
      <c r="C77" s="162" t="s">
        <v>10</v>
      </c>
      <c r="D77" s="162" t="s">
        <v>143</v>
      </c>
      <c r="E77" s="340">
        <v>32.159999999999997</v>
      </c>
      <c r="F77" s="25">
        <v>34</v>
      </c>
      <c r="G77" s="27">
        <f>F77*E77</f>
        <v>1093.4399999999998</v>
      </c>
      <c r="H77" s="36">
        <v>9.99</v>
      </c>
      <c r="I77" s="146">
        <v>0.88</v>
      </c>
      <c r="J77" s="152"/>
    </row>
    <row r="78" spans="2:10" x14ac:dyDescent="0.15">
      <c r="B78" s="28"/>
      <c r="C78" s="162"/>
      <c r="D78" s="162"/>
      <c r="E78" s="340"/>
      <c r="F78" s="25"/>
      <c r="G78" s="27"/>
      <c r="H78" s="36"/>
      <c r="I78" s="146"/>
      <c r="J78" s="152"/>
    </row>
    <row r="79" spans="2:10" x14ac:dyDescent="0.15">
      <c r="B79" s="28">
        <v>40658</v>
      </c>
      <c r="C79" s="135" t="s">
        <v>27</v>
      </c>
      <c r="D79" s="191" t="s">
        <v>137</v>
      </c>
      <c r="E79" s="340">
        <v>135.35</v>
      </c>
      <c r="F79" s="25">
        <v>27</v>
      </c>
      <c r="G79" s="27">
        <f>E79*F79</f>
        <v>3654.45</v>
      </c>
      <c r="H79" s="36">
        <v>9.99</v>
      </c>
      <c r="I79" s="146"/>
      <c r="J79" s="152"/>
    </row>
    <row r="80" spans="2:10" x14ac:dyDescent="0.15">
      <c r="B80" s="28"/>
      <c r="C80" s="162"/>
      <c r="D80" s="162"/>
      <c r="E80" s="340"/>
      <c r="F80" s="25"/>
      <c r="G80" s="27"/>
      <c r="H80" s="36"/>
      <c r="I80" s="146"/>
      <c r="J80" s="152"/>
    </row>
    <row r="81" spans="2:14" x14ac:dyDescent="0.15">
      <c r="B81" s="28">
        <v>40773</v>
      </c>
      <c r="C81" s="191" t="s">
        <v>10</v>
      </c>
      <c r="D81" s="191" t="s">
        <v>148</v>
      </c>
      <c r="E81" s="340">
        <v>177.43</v>
      </c>
      <c r="F81" s="25">
        <v>9</v>
      </c>
      <c r="G81" s="27">
        <f>E81*F81</f>
        <v>1596.8700000000001</v>
      </c>
      <c r="H81" s="36">
        <v>9.99</v>
      </c>
      <c r="I81" s="146"/>
      <c r="J81" s="152"/>
    </row>
    <row r="82" spans="2:14" x14ac:dyDescent="0.15">
      <c r="B82" s="28"/>
      <c r="C82" s="162"/>
      <c r="D82" s="162"/>
      <c r="E82" s="340"/>
      <c r="F82" s="25"/>
      <c r="G82" s="27"/>
      <c r="H82" s="36"/>
      <c r="I82" s="146"/>
      <c r="J82" s="152"/>
    </row>
    <row r="83" spans="2:14" x14ac:dyDescent="0.15">
      <c r="B83" s="28">
        <v>40829</v>
      </c>
      <c r="C83" s="191" t="s">
        <v>10</v>
      </c>
      <c r="D83" s="191" t="s">
        <v>149</v>
      </c>
      <c r="E83" s="340">
        <v>17.23</v>
      </c>
      <c r="F83" s="25">
        <v>87.057000000000002</v>
      </c>
      <c r="G83" s="27">
        <f>E83*F83</f>
        <v>1499.9921100000001</v>
      </c>
      <c r="H83" s="36">
        <v>9.99</v>
      </c>
      <c r="I83" s="146">
        <v>0.69</v>
      </c>
      <c r="J83" s="152"/>
      <c r="N83" s="262"/>
    </row>
    <row r="84" spans="2:14" x14ac:dyDescent="0.15">
      <c r="B84" s="28"/>
      <c r="C84" s="162"/>
      <c r="D84" s="162"/>
      <c r="E84" s="340"/>
      <c r="F84" s="25"/>
      <c r="G84" s="27"/>
      <c r="H84" s="36"/>
      <c r="I84" s="146"/>
      <c r="J84" s="152"/>
      <c r="N84" s="262"/>
    </row>
    <row r="85" spans="2:14" x14ac:dyDescent="0.15">
      <c r="B85" s="28">
        <v>40891</v>
      </c>
      <c r="C85" s="135" t="s">
        <v>87</v>
      </c>
      <c r="D85" s="135" t="s">
        <v>148</v>
      </c>
      <c r="E85" s="340">
        <v>156.06</v>
      </c>
      <c r="F85" s="25">
        <v>9</v>
      </c>
      <c r="G85" s="27">
        <f>E85*F85</f>
        <v>1404.54</v>
      </c>
      <c r="H85" s="36">
        <v>9.99</v>
      </c>
      <c r="I85" s="146" t="s">
        <v>126</v>
      </c>
      <c r="J85" s="152"/>
    </row>
    <row r="86" spans="2:14" x14ac:dyDescent="0.15">
      <c r="B86" s="28"/>
      <c r="C86" s="135"/>
      <c r="D86" s="135"/>
      <c r="E86" s="340"/>
      <c r="F86" s="25"/>
      <c r="G86" s="27"/>
      <c r="H86" s="36"/>
      <c r="I86" s="146"/>
      <c r="J86" s="152"/>
    </row>
    <row r="87" spans="2:14" x14ac:dyDescent="0.15">
      <c r="B87" s="28">
        <v>40942</v>
      </c>
      <c r="C87" s="135" t="s">
        <v>87</v>
      </c>
      <c r="D87" s="135" t="s">
        <v>54</v>
      </c>
      <c r="E87" s="340">
        <v>21.22</v>
      </c>
      <c r="F87" s="25">
        <v>41</v>
      </c>
      <c r="G87" s="27">
        <f>F87*E87</f>
        <v>870.02</v>
      </c>
      <c r="H87" s="36">
        <v>9.99</v>
      </c>
      <c r="I87" s="146"/>
      <c r="J87" s="152"/>
    </row>
    <row r="88" spans="2:14" x14ac:dyDescent="0.15">
      <c r="B88" s="28"/>
      <c r="C88" s="135"/>
      <c r="D88" s="135"/>
      <c r="E88" s="340"/>
      <c r="F88" s="25"/>
      <c r="G88" s="27"/>
      <c r="H88" s="36"/>
      <c r="I88" s="146"/>
      <c r="J88" s="152"/>
    </row>
    <row r="89" spans="2:14" x14ac:dyDescent="0.15">
      <c r="B89" s="28">
        <v>40942</v>
      </c>
      <c r="C89" s="135" t="s">
        <v>10</v>
      </c>
      <c r="D89" s="135" t="s">
        <v>48</v>
      </c>
      <c r="E89" s="340">
        <v>12.47</v>
      </c>
      <c r="F89" s="25">
        <v>65</v>
      </c>
      <c r="G89" s="27">
        <f>F89*E89</f>
        <v>810.55000000000007</v>
      </c>
      <c r="H89" s="36">
        <v>9.99</v>
      </c>
      <c r="I89" s="146"/>
      <c r="J89" s="152"/>
    </row>
    <row r="90" spans="2:14" x14ac:dyDescent="0.15">
      <c r="B90" s="28"/>
      <c r="C90" s="135"/>
      <c r="D90" s="135"/>
      <c r="E90" s="340"/>
      <c r="F90" s="25"/>
      <c r="G90" s="27"/>
      <c r="H90" s="36"/>
      <c r="I90" s="146"/>
      <c r="J90" s="152"/>
    </row>
    <row r="91" spans="2:14" x14ac:dyDescent="0.15">
      <c r="B91" s="28">
        <v>41166</v>
      </c>
      <c r="C91" s="135" t="s">
        <v>87</v>
      </c>
      <c r="D91" s="135" t="s">
        <v>143</v>
      </c>
      <c r="E91" s="340">
        <v>19.71</v>
      </c>
      <c r="F91" s="25">
        <v>36.591000000000001</v>
      </c>
      <c r="G91" s="27">
        <v>711.2</v>
      </c>
      <c r="H91" s="36">
        <v>9.99</v>
      </c>
      <c r="I91" s="146">
        <v>0.85</v>
      </c>
      <c r="J91" s="152"/>
    </row>
    <row r="92" spans="2:14" x14ac:dyDescent="0.15">
      <c r="B92" s="28"/>
      <c r="C92" s="135"/>
      <c r="D92" s="135"/>
      <c r="E92" s="340"/>
      <c r="F92" s="25"/>
      <c r="G92" s="27"/>
      <c r="H92" s="36"/>
      <c r="I92" s="146"/>
      <c r="J92" s="152"/>
    </row>
    <row r="93" spans="2:14" x14ac:dyDescent="0.15">
      <c r="B93" s="28">
        <v>41173</v>
      </c>
      <c r="C93" s="135" t="s">
        <v>10</v>
      </c>
      <c r="D93" s="135" t="s">
        <v>177</v>
      </c>
      <c r="E93" s="340">
        <v>16.649999999999999</v>
      </c>
      <c r="F93" s="25">
        <v>100</v>
      </c>
      <c r="G93" s="27">
        <v>1674.98</v>
      </c>
      <c r="H93" s="36">
        <v>9.99</v>
      </c>
      <c r="I93" s="146">
        <v>0.66</v>
      </c>
      <c r="J93" s="152"/>
    </row>
    <row r="94" spans="2:14" x14ac:dyDescent="0.15">
      <c r="B94" s="28"/>
      <c r="C94" s="135"/>
      <c r="D94" s="135"/>
      <c r="E94" s="340"/>
      <c r="F94" s="25"/>
      <c r="G94" s="27"/>
      <c r="H94" s="36"/>
      <c r="I94" s="146"/>
      <c r="J94" s="152"/>
    </row>
    <row r="95" spans="2:14" x14ac:dyDescent="0.15">
      <c r="B95" s="28">
        <v>41215</v>
      </c>
      <c r="C95" s="135" t="s">
        <v>87</v>
      </c>
      <c r="D95" s="135" t="s">
        <v>34</v>
      </c>
      <c r="E95" s="340">
        <v>23</v>
      </c>
      <c r="F95" s="25">
        <v>57.813000000000002</v>
      </c>
      <c r="G95" s="27">
        <v>1319.69</v>
      </c>
      <c r="H95" s="36">
        <v>9.99</v>
      </c>
      <c r="I95" s="146">
        <v>0.72</v>
      </c>
      <c r="J95" s="152"/>
    </row>
    <row r="96" spans="2:14" x14ac:dyDescent="0.15">
      <c r="B96" s="28"/>
      <c r="C96" s="135"/>
      <c r="D96" s="135"/>
      <c r="E96" s="340"/>
      <c r="F96" s="25"/>
      <c r="G96" s="27"/>
      <c r="H96" s="36"/>
      <c r="I96" s="146"/>
      <c r="J96" s="152"/>
    </row>
    <row r="97" spans="2:10" x14ac:dyDescent="0.15">
      <c r="B97" s="28">
        <v>41215</v>
      </c>
      <c r="C97" s="135" t="s">
        <v>10</v>
      </c>
      <c r="D97" s="135" t="s">
        <v>185</v>
      </c>
      <c r="E97" s="340">
        <v>12.43</v>
      </c>
      <c r="F97" s="25">
        <v>150</v>
      </c>
      <c r="G97" s="27">
        <v>1875.74</v>
      </c>
      <c r="H97" s="36">
        <v>9.99</v>
      </c>
      <c r="I97" s="146">
        <v>0.78</v>
      </c>
      <c r="J97" s="152"/>
    </row>
    <row r="98" spans="2:10" x14ac:dyDescent="0.15">
      <c r="B98" s="28"/>
      <c r="C98" s="135"/>
      <c r="D98" s="135"/>
      <c r="E98" s="340"/>
      <c r="F98" s="25"/>
      <c r="G98" s="27"/>
      <c r="H98" s="36"/>
      <c r="I98" s="146"/>
      <c r="J98" s="152"/>
    </row>
    <row r="99" spans="2:10" x14ac:dyDescent="0.15">
      <c r="B99" s="28">
        <v>41222</v>
      </c>
      <c r="C99" s="135" t="s">
        <v>10</v>
      </c>
      <c r="D99" s="135" t="s">
        <v>186</v>
      </c>
      <c r="E99" s="340">
        <v>83</v>
      </c>
      <c r="F99" s="25">
        <v>15</v>
      </c>
      <c r="G99" s="27">
        <v>1319.69</v>
      </c>
      <c r="H99" s="36">
        <v>9.99</v>
      </c>
      <c r="I99" s="146">
        <v>0.72</v>
      </c>
      <c r="J99" s="152"/>
    </row>
    <row r="100" spans="2:10" x14ac:dyDescent="0.15">
      <c r="B100" s="28"/>
      <c r="C100" s="135"/>
      <c r="D100" s="135"/>
      <c r="E100" s="340"/>
      <c r="F100" s="25"/>
      <c r="G100" s="27"/>
      <c r="H100" s="36"/>
      <c r="I100" s="146"/>
      <c r="J100" s="152"/>
    </row>
    <row r="101" spans="2:10" x14ac:dyDescent="0.15">
      <c r="B101" s="28">
        <v>41243</v>
      </c>
      <c r="C101" s="135" t="s">
        <v>10</v>
      </c>
      <c r="D101" s="135" t="s">
        <v>195</v>
      </c>
      <c r="E101" s="340">
        <v>19.489999999999998</v>
      </c>
      <c r="F101" s="25">
        <v>75</v>
      </c>
      <c r="G101" s="27">
        <v>1471.73</v>
      </c>
      <c r="H101" s="36">
        <v>9.99</v>
      </c>
      <c r="I101" s="146">
        <v>0.96</v>
      </c>
      <c r="J101" s="152"/>
    </row>
    <row r="102" spans="2:10" x14ac:dyDescent="0.15">
      <c r="B102" s="28"/>
      <c r="C102" s="135"/>
      <c r="D102" s="135"/>
      <c r="E102" s="340"/>
      <c r="F102" s="25"/>
      <c r="G102" s="27"/>
      <c r="H102" s="36"/>
      <c r="I102" s="146"/>
      <c r="J102" s="152"/>
    </row>
    <row r="103" spans="2:10" x14ac:dyDescent="0.15">
      <c r="B103" s="28">
        <v>41243</v>
      </c>
      <c r="C103" s="135" t="s">
        <v>87</v>
      </c>
      <c r="D103" s="135" t="s">
        <v>78</v>
      </c>
      <c r="E103" s="340">
        <v>54.07</v>
      </c>
      <c r="F103" s="25">
        <v>41.744999999999997</v>
      </c>
      <c r="G103" s="27">
        <v>2247.11</v>
      </c>
      <c r="H103" s="36">
        <v>9.99</v>
      </c>
      <c r="I103" s="146">
        <v>0.96</v>
      </c>
      <c r="J103" s="152"/>
    </row>
    <row r="104" spans="2:10" x14ac:dyDescent="0.15">
      <c r="B104" s="28"/>
      <c r="C104" s="135"/>
      <c r="D104" s="135"/>
      <c r="E104" s="340"/>
      <c r="F104" s="25"/>
      <c r="G104" s="27"/>
      <c r="H104" s="36"/>
      <c r="I104" s="146"/>
      <c r="J104" s="152"/>
    </row>
    <row r="105" spans="2:10" x14ac:dyDescent="0.15">
      <c r="B105" s="28">
        <v>41298</v>
      </c>
      <c r="C105" s="135" t="s">
        <v>87</v>
      </c>
      <c r="D105" s="135" t="s">
        <v>154</v>
      </c>
      <c r="E105" s="340">
        <v>14.86</v>
      </c>
      <c r="F105" s="337">
        <v>134.99299999999999</v>
      </c>
      <c r="G105" s="27">
        <f>F105*E105</f>
        <v>2005.9959799999999</v>
      </c>
      <c r="H105" s="36">
        <v>9.99</v>
      </c>
      <c r="I105" s="146">
        <v>1</v>
      </c>
      <c r="J105" s="152"/>
    </row>
    <row r="106" spans="2:10" x14ac:dyDescent="0.15">
      <c r="B106" s="28"/>
      <c r="C106" s="135"/>
      <c r="D106" s="135"/>
      <c r="E106" s="340"/>
      <c r="F106" s="25"/>
      <c r="G106" s="27"/>
      <c r="H106" s="36"/>
      <c r="I106" s="146"/>
      <c r="J106" s="152"/>
    </row>
    <row r="107" spans="2:10" x14ac:dyDescent="0.15">
      <c r="B107" s="28">
        <v>41334</v>
      </c>
      <c r="C107" s="135" t="s">
        <v>10</v>
      </c>
      <c r="D107" s="135" t="s">
        <v>208</v>
      </c>
      <c r="E107" s="340">
        <v>21.75</v>
      </c>
      <c r="F107" s="337">
        <v>100</v>
      </c>
      <c r="G107" s="27">
        <f>F107*E107</f>
        <v>2175</v>
      </c>
      <c r="H107" s="36">
        <v>9.99</v>
      </c>
      <c r="I107" s="146">
        <f>(31/40)</f>
        <v>0.77500000000000002</v>
      </c>
      <c r="J107" s="152"/>
    </row>
    <row r="108" spans="2:10" x14ac:dyDescent="0.15">
      <c r="B108" s="28"/>
      <c r="C108" s="135"/>
      <c r="D108" s="135"/>
      <c r="E108" s="340"/>
      <c r="F108" s="339"/>
      <c r="G108" s="27"/>
      <c r="H108" s="36"/>
      <c r="I108" s="146"/>
      <c r="J108" s="152"/>
    </row>
    <row r="109" spans="2:10" x14ac:dyDescent="0.15">
      <c r="B109" s="28">
        <v>41355</v>
      </c>
      <c r="C109" s="135" t="s">
        <v>87</v>
      </c>
      <c r="D109" s="135" t="s">
        <v>55</v>
      </c>
      <c r="E109" s="340">
        <v>131.71</v>
      </c>
      <c r="F109" s="339">
        <v>15.202</v>
      </c>
      <c r="G109" s="27">
        <f>F109*E109</f>
        <v>2002.2554200000002</v>
      </c>
      <c r="H109" s="36">
        <v>9.99</v>
      </c>
      <c r="I109" s="146">
        <v>0.76</v>
      </c>
      <c r="J109" s="152"/>
    </row>
    <row r="110" spans="2:10" x14ac:dyDescent="0.15">
      <c r="B110" s="28"/>
      <c r="C110" s="135"/>
      <c r="D110" s="135"/>
      <c r="E110" s="340"/>
      <c r="F110" s="339"/>
      <c r="G110" s="27"/>
      <c r="H110" s="36"/>
      <c r="I110" s="146"/>
      <c r="J110" s="152"/>
    </row>
    <row r="111" spans="2:10" x14ac:dyDescent="0.15">
      <c r="B111" s="28">
        <v>41355</v>
      </c>
      <c r="C111" s="135" t="s">
        <v>87</v>
      </c>
      <c r="D111" s="135" t="s">
        <v>42</v>
      </c>
      <c r="E111" s="340">
        <v>83.3</v>
      </c>
      <c r="F111" s="339">
        <v>47.706000000000003</v>
      </c>
      <c r="G111" s="27">
        <f>F111*E111</f>
        <v>3973.9097999999999</v>
      </c>
      <c r="H111" s="36">
        <v>9.99</v>
      </c>
      <c r="I111" s="146">
        <v>0.78</v>
      </c>
      <c r="J111" s="152"/>
    </row>
    <row r="112" spans="2:10" x14ac:dyDescent="0.15">
      <c r="B112" s="28"/>
      <c r="C112" s="135"/>
      <c r="D112" s="135"/>
      <c r="E112" s="340"/>
      <c r="F112" s="339"/>
      <c r="G112" s="27"/>
      <c r="H112" s="36"/>
      <c r="I112" s="146"/>
      <c r="J112" s="152"/>
    </row>
    <row r="113" spans="2:10" x14ac:dyDescent="0.15">
      <c r="B113" s="28">
        <v>41355</v>
      </c>
      <c r="C113" s="135" t="s">
        <v>10</v>
      </c>
      <c r="D113" s="135" t="s">
        <v>210</v>
      </c>
      <c r="E113" s="340">
        <v>8.61</v>
      </c>
      <c r="F113" s="339">
        <v>300</v>
      </c>
      <c r="G113" s="27">
        <f>F113*E113</f>
        <v>2583</v>
      </c>
      <c r="H113" s="36">
        <v>9.99</v>
      </c>
      <c r="I113" s="146">
        <v>0.78</v>
      </c>
      <c r="J113" s="152"/>
    </row>
    <row r="114" spans="2:10" x14ac:dyDescent="0.15">
      <c r="B114" s="28"/>
      <c r="C114" s="135"/>
      <c r="D114" s="135"/>
      <c r="E114" s="340"/>
      <c r="F114" s="344"/>
      <c r="G114" s="27"/>
      <c r="H114" s="36"/>
      <c r="I114" s="146"/>
      <c r="J114" s="152"/>
    </row>
    <row r="115" spans="2:10" x14ac:dyDescent="0.15">
      <c r="B115" s="28">
        <v>41365</v>
      </c>
      <c r="C115" s="135" t="s">
        <v>87</v>
      </c>
      <c r="D115" s="135" t="s">
        <v>48</v>
      </c>
      <c r="E115" s="340">
        <v>13.01</v>
      </c>
      <c r="F115" s="344">
        <v>66.475999999999999</v>
      </c>
      <c r="G115" s="27">
        <f>F115*E115</f>
        <v>864.85275999999999</v>
      </c>
      <c r="H115" s="36">
        <v>9.99</v>
      </c>
      <c r="I115" s="146">
        <v>0.76</v>
      </c>
      <c r="J115" s="152"/>
    </row>
    <row r="116" spans="2:10" x14ac:dyDescent="0.15">
      <c r="B116" s="28"/>
      <c r="C116" s="135"/>
      <c r="D116" s="135"/>
      <c r="E116" s="340"/>
      <c r="F116" s="344"/>
      <c r="G116" s="27"/>
      <c r="H116" s="36"/>
      <c r="I116" s="146"/>
      <c r="J116" s="152"/>
    </row>
    <row r="117" spans="2:10" x14ac:dyDescent="0.15">
      <c r="B117" s="28">
        <v>41365</v>
      </c>
      <c r="C117" s="135" t="s">
        <v>10</v>
      </c>
      <c r="D117" s="135" t="s">
        <v>211</v>
      </c>
      <c r="E117" s="340">
        <v>16.48</v>
      </c>
      <c r="F117" s="344">
        <v>150</v>
      </c>
      <c r="G117" s="27">
        <f>F117*E117</f>
        <v>2472</v>
      </c>
      <c r="H117" s="36">
        <v>9.99</v>
      </c>
      <c r="I117" s="146">
        <v>0.76</v>
      </c>
      <c r="J117" s="152"/>
    </row>
    <row r="118" spans="2:10" x14ac:dyDescent="0.15">
      <c r="B118" s="28"/>
      <c r="C118" s="135"/>
      <c r="D118" s="135"/>
      <c r="E118" s="340"/>
      <c r="F118" s="344"/>
      <c r="G118" s="27"/>
      <c r="H118" s="36"/>
      <c r="I118" s="146"/>
      <c r="J118" s="152"/>
    </row>
    <row r="119" spans="2:10" x14ac:dyDescent="0.15">
      <c r="B119" s="28">
        <v>41397</v>
      </c>
      <c r="C119" s="135" t="s">
        <v>87</v>
      </c>
      <c r="D119" s="135" t="s">
        <v>210</v>
      </c>
      <c r="E119" s="340">
        <v>11.25</v>
      </c>
      <c r="F119" s="344">
        <v>100</v>
      </c>
      <c r="G119" s="27">
        <f>F119*E119</f>
        <v>1125</v>
      </c>
      <c r="H119" s="36">
        <v>9.99</v>
      </c>
      <c r="I119" s="146" t="s">
        <v>126</v>
      </c>
      <c r="J119" s="152"/>
    </row>
    <row r="120" spans="2:10" x14ac:dyDescent="0.15">
      <c r="B120" s="28"/>
      <c r="C120" s="135"/>
      <c r="D120" s="135"/>
      <c r="E120" s="340"/>
      <c r="F120" s="345"/>
      <c r="G120" s="27"/>
      <c r="H120" s="36"/>
      <c r="I120" s="146"/>
      <c r="J120" s="152"/>
    </row>
    <row r="121" spans="2:10" x14ac:dyDescent="0.15">
      <c r="B121" s="28">
        <v>41416</v>
      </c>
      <c r="C121" s="135" t="s">
        <v>87</v>
      </c>
      <c r="D121" s="135" t="s">
        <v>102</v>
      </c>
      <c r="E121" s="340">
        <v>28.061</v>
      </c>
      <c r="F121" s="345">
        <v>60</v>
      </c>
      <c r="G121" s="27">
        <f>F121*E121</f>
        <v>1683.66</v>
      </c>
      <c r="H121" s="36">
        <v>9.99</v>
      </c>
      <c r="I121" s="146" t="s">
        <v>126</v>
      </c>
      <c r="J121" s="152"/>
    </row>
    <row r="122" spans="2:10" x14ac:dyDescent="0.15">
      <c r="B122" s="28"/>
      <c r="C122" s="135"/>
      <c r="D122" s="135"/>
      <c r="E122" s="340"/>
      <c r="F122" s="345"/>
      <c r="G122" s="27"/>
      <c r="H122" s="36"/>
      <c r="I122" s="146"/>
      <c r="J122" s="152"/>
    </row>
    <row r="123" spans="2:10" x14ac:dyDescent="0.15">
      <c r="B123" s="28">
        <v>41416</v>
      </c>
      <c r="C123" s="135" t="s">
        <v>87</v>
      </c>
      <c r="D123" s="135" t="s">
        <v>107</v>
      </c>
      <c r="E123" s="340">
        <v>28.75</v>
      </c>
      <c r="F123" s="345">
        <v>53.13</v>
      </c>
      <c r="G123" s="27">
        <f>F123*E123</f>
        <v>1527.4875000000002</v>
      </c>
      <c r="H123" s="36">
        <v>9.99</v>
      </c>
      <c r="I123" s="146" t="s">
        <v>126</v>
      </c>
      <c r="J123" s="152"/>
    </row>
    <row r="124" spans="2:10" x14ac:dyDescent="0.15">
      <c r="B124" s="28"/>
      <c r="C124" s="135"/>
      <c r="D124" s="135"/>
      <c r="E124" s="340"/>
      <c r="F124" s="345"/>
      <c r="G124" s="27"/>
      <c r="H124" s="36"/>
      <c r="I124" s="146"/>
      <c r="J124" s="152"/>
    </row>
    <row r="125" spans="2:10" x14ac:dyDescent="0.15">
      <c r="B125" s="28">
        <v>41416</v>
      </c>
      <c r="C125" s="135" t="s">
        <v>10</v>
      </c>
      <c r="D125" s="135" t="s">
        <v>214</v>
      </c>
      <c r="E125" s="340">
        <v>11.61</v>
      </c>
      <c r="F125" s="345">
        <v>150</v>
      </c>
      <c r="G125" s="27">
        <f>F125*E125</f>
        <v>1741.5</v>
      </c>
      <c r="H125" s="36">
        <v>9.99</v>
      </c>
      <c r="I125" s="146" t="s">
        <v>126</v>
      </c>
      <c r="J125" s="152"/>
    </row>
    <row r="126" spans="2:10" x14ac:dyDescent="0.15">
      <c r="B126" s="28"/>
      <c r="C126" s="135"/>
      <c r="D126" s="135"/>
      <c r="E126" s="340"/>
      <c r="F126" s="345"/>
      <c r="G126" s="27"/>
      <c r="H126" s="36"/>
      <c r="I126" s="146"/>
      <c r="J126" s="152"/>
    </row>
    <row r="127" spans="2:10" x14ac:dyDescent="0.15">
      <c r="B127" s="28">
        <v>41416</v>
      </c>
      <c r="C127" s="135" t="s">
        <v>10</v>
      </c>
      <c r="D127" s="135" t="s">
        <v>214</v>
      </c>
      <c r="E127" s="340">
        <v>11.46</v>
      </c>
      <c r="F127" s="345">
        <v>50</v>
      </c>
      <c r="G127" s="27">
        <f>F127*E127</f>
        <v>573</v>
      </c>
      <c r="H127" s="36">
        <v>9.99</v>
      </c>
      <c r="I127" s="146" t="s">
        <v>126</v>
      </c>
      <c r="J127" s="152"/>
    </row>
    <row r="128" spans="2:10" x14ac:dyDescent="0.15">
      <c r="B128" s="28"/>
      <c r="C128" s="135"/>
      <c r="D128" s="135"/>
      <c r="E128" s="340"/>
      <c r="F128" s="345"/>
      <c r="G128" s="27"/>
      <c r="H128" s="36"/>
      <c r="I128" s="146"/>
      <c r="J128" s="152"/>
    </row>
    <row r="129" spans="2:10" x14ac:dyDescent="0.15">
      <c r="B129" s="28">
        <v>41416</v>
      </c>
      <c r="C129" s="135" t="s">
        <v>10</v>
      </c>
      <c r="D129" s="135" t="s">
        <v>185</v>
      </c>
      <c r="E129" s="340">
        <v>17.73</v>
      </c>
      <c r="F129" s="345">
        <v>50</v>
      </c>
      <c r="G129" s="27">
        <f>F129*E129</f>
        <v>886.5</v>
      </c>
      <c r="H129" s="36">
        <v>9.99</v>
      </c>
      <c r="I129" s="146" t="s">
        <v>126</v>
      </c>
      <c r="J129" s="152"/>
    </row>
    <row r="130" spans="2:10" x14ac:dyDescent="0.15">
      <c r="B130" s="28"/>
      <c r="C130" s="135"/>
      <c r="D130" s="135"/>
      <c r="E130" s="340"/>
      <c r="F130" s="357"/>
      <c r="G130" s="27"/>
      <c r="H130" s="36"/>
      <c r="I130" s="146"/>
      <c r="J130" s="152"/>
    </row>
    <row r="131" spans="2:10" x14ac:dyDescent="0.15">
      <c r="B131" s="28">
        <v>41424</v>
      </c>
      <c r="C131" s="135" t="s">
        <v>87</v>
      </c>
      <c r="D131" s="135" t="s">
        <v>77</v>
      </c>
      <c r="E131" s="340">
        <v>41.2</v>
      </c>
      <c r="F131" s="357">
        <v>25</v>
      </c>
      <c r="G131" s="27">
        <f>F131*E131</f>
        <v>1030</v>
      </c>
      <c r="H131" s="36">
        <v>9.99</v>
      </c>
      <c r="I131" s="146" t="s">
        <v>126</v>
      </c>
      <c r="J131" s="152"/>
    </row>
    <row r="132" spans="2:10" x14ac:dyDescent="0.15">
      <c r="B132" s="28"/>
      <c r="C132" s="135"/>
      <c r="D132" s="135"/>
      <c r="E132" s="340"/>
      <c r="F132" s="357"/>
      <c r="G132" s="27"/>
      <c r="H132" s="36"/>
      <c r="I132" s="146"/>
      <c r="J132" s="152"/>
    </row>
    <row r="133" spans="2:10" x14ac:dyDescent="0.15">
      <c r="B133" s="28">
        <v>41424</v>
      </c>
      <c r="C133" s="135" t="s">
        <v>10</v>
      </c>
      <c r="D133" s="135" t="s">
        <v>215</v>
      </c>
      <c r="E133" s="340">
        <v>15.04</v>
      </c>
      <c r="F133" s="357">
        <v>135</v>
      </c>
      <c r="G133" s="27">
        <f>F133*E133</f>
        <v>2030.3999999999999</v>
      </c>
      <c r="H133" s="36">
        <v>9.99</v>
      </c>
      <c r="I133" s="146" t="s">
        <v>126</v>
      </c>
      <c r="J133" s="152"/>
    </row>
    <row r="134" spans="2:10" x14ac:dyDescent="0.15">
      <c r="B134" s="28"/>
      <c r="C134" s="135"/>
      <c r="D134" s="135"/>
      <c r="E134" s="340"/>
      <c r="F134" s="359"/>
      <c r="G134" s="27"/>
      <c r="H134" s="36"/>
      <c r="I134" s="146"/>
      <c r="J134" s="152"/>
    </row>
    <row r="135" spans="2:10" x14ac:dyDescent="0.15">
      <c r="B135" s="28">
        <v>41438</v>
      </c>
      <c r="C135" s="135" t="s">
        <v>87</v>
      </c>
      <c r="D135" s="135" t="s">
        <v>101</v>
      </c>
      <c r="E135" s="340">
        <v>45.66</v>
      </c>
      <c r="F135" s="359">
        <v>62</v>
      </c>
      <c r="G135" s="27">
        <f>F135*E135</f>
        <v>2830.9199999999996</v>
      </c>
      <c r="H135" s="36">
        <v>9.99</v>
      </c>
      <c r="I135" s="146" t="s">
        <v>126</v>
      </c>
      <c r="J135" s="152"/>
    </row>
    <row r="136" spans="2:10" x14ac:dyDescent="0.15">
      <c r="B136" s="28"/>
      <c r="C136" s="135"/>
      <c r="D136" s="135"/>
      <c r="E136" s="340"/>
      <c r="F136" s="359"/>
      <c r="G136" s="27"/>
      <c r="H136" s="36"/>
      <c r="I136" s="146"/>
      <c r="J136" s="152"/>
    </row>
    <row r="137" spans="2:10" x14ac:dyDescent="0.15">
      <c r="B137" s="28">
        <v>41438</v>
      </c>
      <c r="C137" s="135" t="s">
        <v>87</v>
      </c>
      <c r="D137" s="135" t="s">
        <v>41</v>
      </c>
      <c r="E137" s="340">
        <v>61.03</v>
      </c>
      <c r="F137" s="359">
        <v>45</v>
      </c>
      <c r="G137" s="27">
        <f>F137*E137</f>
        <v>2746.35</v>
      </c>
      <c r="H137" s="36">
        <v>9.99</v>
      </c>
      <c r="I137" s="146" t="s">
        <v>126</v>
      </c>
      <c r="J137" s="152"/>
    </row>
    <row r="138" spans="2:10" x14ac:dyDescent="0.15">
      <c r="B138" s="28"/>
      <c r="C138" s="135"/>
      <c r="D138" s="135"/>
      <c r="E138" s="340"/>
      <c r="F138" s="359"/>
      <c r="G138" s="27"/>
      <c r="H138" s="36"/>
      <c r="I138" s="146"/>
      <c r="J138" s="152"/>
    </row>
    <row r="139" spans="2:10" x14ac:dyDescent="0.15">
      <c r="B139" s="28">
        <v>41438</v>
      </c>
      <c r="C139" s="135" t="s">
        <v>87</v>
      </c>
      <c r="D139" s="135" t="s">
        <v>142</v>
      </c>
      <c r="E139" s="340">
        <v>8.86</v>
      </c>
      <c r="F139" s="359">
        <v>105</v>
      </c>
      <c r="G139" s="27">
        <f>F139*E139</f>
        <v>930.3</v>
      </c>
      <c r="H139" s="36">
        <v>9.99</v>
      </c>
      <c r="I139" s="146" t="s">
        <v>126</v>
      </c>
      <c r="J139" s="152"/>
    </row>
    <row r="140" spans="2:10" x14ac:dyDescent="0.15">
      <c r="B140" s="28"/>
      <c r="C140" s="135"/>
      <c r="D140" s="135"/>
      <c r="E140" s="340"/>
      <c r="F140" s="359"/>
      <c r="G140" s="27"/>
      <c r="H140" s="36"/>
      <c r="I140" s="146"/>
      <c r="J140" s="152"/>
    </row>
    <row r="141" spans="2:10" x14ac:dyDescent="0.15">
      <c r="B141" s="28">
        <v>41438</v>
      </c>
      <c r="C141" s="135" t="s">
        <v>10</v>
      </c>
      <c r="D141" s="135" t="s">
        <v>50</v>
      </c>
      <c r="E141" s="340">
        <v>24.72</v>
      </c>
      <c r="F141" s="359">
        <v>112</v>
      </c>
      <c r="G141" s="27">
        <f>F141*E141</f>
        <v>2768.64</v>
      </c>
      <c r="H141" s="36">
        <v>9.99</v>
      </c>
      <c r="I141" s="146" t="s">
        <v>126</v>
      </c>
      <c r="J141" s="152"/>
    </row>
    <row r="142" spans="2:10" x14ac:dyDescent="0.15">
      <c r="B142" s="28"/>
      <c r="C142" s="135"/>
      <c r="D142" s="135"/>
      <c r="E142" s="340"/>
      <c r="F142" s="360"/>
      <c r="G142" s="27"/>
      <c r="H142" s="36"/>
      <c r="I142" s="146"/>
      <c r="J142" s="152"/>
    </row>
    <row r="143" spans="2:10" x14ac:dyDescent="0.15">
      <c r="B143" s="28">
        <v>41449</v>
      </c>
      <c r="C143" s="135" t="s">
        <v>10</v>
      </c>
      <c r="D143" s="135" t="s">
        <v>214</v>
      </c>
      <c r="E143" s="340">
        <v>9.4700000000000006</v>
      </c>
      <c r="F143" s="360">
        <v>50</v>
      </c>
      <c r="G143" s="27">
        <f>F143*E143</f>
        <v>473.50000000000006</v>
      </c>
      <c r="H143" s="36">
        <v>9.99</v>
      </c>
      <c r="I143" s="146" t="s">
        <v>126</v>
      </c>
      <c r="J143" s="152"/>
    </row>
    <row r="144" spans="2:10" x14ac:dyDescent="0.15">
      <c r="B144" s="28"/>
      <c r="C144" s="135"/>
      <c r="D144" s="135"/>
      <c r="E144" s="340"/>
      <c r="F144" s="363"/>
      <c r="G144" s="27"/>
      <c r="H144" s="36"/>
      <c r="I144" s="146"/>
      <c r="J144" s="152"/>
    </row>
    <row r="145" spans="2:25" x14ac:dyDescent="0.15">
      <c r="B145" s="28">
        <v>41530</v>
      </c>
      <c r="C145" s="135" t="s">
        <v>10</v>
      </c>
      <c r="D145" s="135" t="s">
        <v>226</v>
      </c>
      <c r="E145" s="340">
        <v>115.4</v>
      </c>
      <c r="F145" s="363">
        <v>20</v>
      </c>
      <c r="G145" s="27">
        <f>F145*E145</f>
        <v>2308</v>
      </c>
      <c r="H145" s="36">
        <v>9.99</v>
      </c>
      <c r="I145" s="146">
        <v>0.86</v>
      </c>
      <c r="J145" s="152"/>
    </row>
    <row r="146" spans="2:25" x14ac:dyDescent="0.15">
      <c r="B146" s="28"/>
      <c r="C146" s="135"/>
      <c r="D146" s="135"/>
      <c r="E146" s="340"/>
      <c r="F146" s="364"/>
      <c r="G146" s="27"/>
      <c r="H146" s="36"/>
      <c r="I146" s="146"/>
      <c r="J146" s="152"/>
    </row>
    <row r="147" spans="2:25" x14ac:dyDescent="0.15">
      <c r="B147" s="28">
        <v>41544</v>
      </c>
      <c r="C147" s="135" t="s">
        <v>10</v>
      </c>
      <c r="D147" s="135" t="s">
        <v>232</v>
      </c>
      <c r="E147" s="340">
        <v>122.58</v>
      </c>
      <c r="F147" s="364">
        <v>18</v>
      </c>
      <c r="G147" s="27">
        <f>F147*E147</f>
        <v>2206.44</v>
      </c>
      <c r="H147" s="36">
        <v>9.99</v>
      </c>
      <c r="I147" s="146">
        <v>0.86</v>
      </c>
      <c r="J147" s="152"/>
    </row>
    <row r="148" spans="2:25" x14ac:dyDescent="0.15">
      <c r="B148" s="28"/>
      <c r="C148" s="135"/>
      <c r="D148" s="135"/>
      <c r="E148" s="340"/>
      <c r="F148" s="364"/>
      <c r="G148" s="27"/>
      <c r="H148" s="36"/>
      <c r="I148" s="146"/>
      <c r="J148" s="152"/>
    </row>
    <row r="149" spans="2:25" x14ac:dyDescent="0.15">
      <c r="B149" s="28">
        <v>41551</v>
      </c>
      <c r="C149" s="135" t="s">
        <v>87</v>
      </c>
      <c r="D149" s="135" t="s">
        <v>186</v>
      </c>
      <c r="E149" s="340">
        <v>83.94</v>
      </c>
      <c r="F149" s="364">
        <v>15.281000000000001</v>
      </c>
      <c r="G149" s="27">
        <f>F149*E149</f>
        <v>1282.68714</v>
      </c>
      <c r="H149" s="36">
        <v>9.99</v>
      </c>
      <c r="I149" s="146">
        <v>0.7</v>
      </c>
      <c r="J149" s="152"/>
    </row>
    <row r="150" spans="2:25" x14ac:dyDescent="0.15">
      <c r="B150" s="28"/>
      <c r="C150" s="135"/>
      <c r="D150" s="135"/>
      <c r="E150" s="340"/>
      <c r="F150" s="364"/>
      <c r="G150" s="27"/>
      <c r="H150" s="36"/>
      <c r="I150" s="146"/>
      <c r="J150" s="152"/>
    </row>
    <row r="151" spans="2:25" x14ac:dyDescent="0.15">
      <c r="B151" s="28">
        <v>41576</v>
      </c>
      <c r="C151" s="135" t="s">
        <v>87</v>
      </c>
      <c r="D151" s="135" t="s">
        <v>210</v>
      </c>
      <c r="E151" s="340">
        <v>9.58</v>
      </c>
      <c r="F151" s="364">
        <v>200</v>
      </c>
      <c r="G151" s="27">
        <f>F151*E151</f>
        <v>1916</v>
      </c>
      <c r="H151" s="36">
        <v>9.99</v>
      </c>
      <c r="I151" s="146" t="s">
        <v>126</v>
      </c>
      <c r="J151" s="152"/>
    </row>
    <row r="152" spans="2:25" x14ac:dyDescent="0.15">
      <c r="B152" s="28"/>
      <c r="C152" s="135"/>
      <c r="D152" s="135"/>
      <c r="E152" s="340"/>
      <c r="F152" s="364"/>
      <c r="G152" s="27"/>
      <c r="H152" s="36"/>
      <c r="I152" s="146"/>
      <c r="J152" s="152"/>
    </row>
    <row r="153" spans="2:25" x14ac:dyDescent="0.15">
      <c r="B153" s="28">
        <v>41586</v>
      </c>
      <c r="C153" s="135" t="s">
        <v>10</v>
      </c>
      <c r="D153" s="135" t="s">
        <v>243</v>
      </c>
      <c r="E153" s="340">
        <v>34.9</v>
      </c>
      <c r="F153" s="364">
        <v>100</v>
      </c>
      <c r="G153" s="27">
        <f>F153*E153</f>
        <v>3490</v>
      </c>
      <c r="H153" s="36">
        <v>9.99</v>
      </c>
      <c r="I153" s="146">
        <v>0.72</v>
      </c>
      <c r="J153" s="152" t="s">
        <v>263</v>
      </c>
    </row>
    <row r="154" spans="2:25" x14ac:dyDescent="0.15">
      <c r="B154" s="28"/>
      <c r="C154" s="135"/>
      <c r="D154" s="135"/>
      <c r="E154" s="340"/>
      <c r="F154" s="364"/>
      <c r="G154" s="27"/>
      <c r="H154" s="36"/>
      <c r="I154" s="146"/>
      <c r="J154" s="152"/>
    </row>
    <row r="155" spans="2:25" x14ac:dyDescent="0.15">
      <c r="B155" s="28">
        <v>41614</v>
      </c>
      <c r="C155" s="135" t="s">
        <v>87</v>
      </c>
      <c r="D155" s="135" t="s">
        <v>243</v>
      </c>
      <c r="E155" s="340">
        <v>65.849999999999994</v>
      </c>
      <c r="F155" s="364">
        <v>100</v>
      </c>
      <c r="G155" s="27">
        <f>F155*E155</f>
        <v>6584.9999999999991</v>
      </c>
      <c r="H155" s="36">
        <v>9.99</v>
      </c>
      <c r="I155" s="146">
        <v>0.88</v>
      </c>
      <c r="J155" s="152" t="s">
        <v>263</v>
      </c>
    </row>
    <row r="156" spans="2:25" x14ac:dyDescent="0.15">
      <c r="B156" s="28"/>
      <c r="C156" s="135"/>
      <c r="D156" s="135"/>
      <c r="E156" s="340"/>
      <c r="F156" s="364"/>
      <c r="G156" s="27"/>
      <c r="H156" s="36"/>
      <c r="I156" s="146"/>
      <c r="J156" s="152"/>
    </row>
    <row r="157" spans="2:25" x14ac:dyDescent="0.15">
      <c r="B157" s="28">
        <v>41698</v>
      </c>
      <c r="C157" s="135" t="s">
        <v>10</v>
      </c>
      <c r="D157" s="135" t="s">
        <v>262</v>
      </c>
      <c r="E157" s="340">
        <v>86.37</v>
      </c>
      <c r="F157" s="364">
        <v>42</v>
      </c>
      <c r="G157" s="27">
        <f>F157*E157</f>
        <v>3627.54</v>
      </c>
      <c r="H157" s="36">
        <v>9.99</v>
      </c>
      <c r="I157" s="146">
        <v>0.89</v>
      </c>
      <c r="J157" s="152"/>
      <c r="Q157" s="454"/>
      <c r="R157" s="135"/>
      <c r="S157" s="135"/>
      <c r="T157" s="340"/>
      <c r="U157" s="364"/>
      <c r="V157" s="27"/>
      <c r="W157" s="36"/>
      <c r="X157" s="146"/>
      <c r="Y157" s="136"/>
    </row>
    <row r="158" spans="2:25" x14ac:dyDescent="0.15">
      <c r="B158" s="28"/>
      <c r="C158" s="135"/>
      <c r="D158" s="135"/>
      <c r="E158" s="340"/>
      <c r="F158" s="364"/>
      <c r="G158" s="27"/>
      <c r="H158" s="36"/>
      <c r="I158" s="146"/>
      <c r="J158" s="152"/>
      <c r="Q158" s="454"/>
      <c r="R158" s="135"/>
      <c r="S158" s="135"/>
      <c r="T158" s="340"/>
      <c r="U158" s="364"/>
      <c r="V158" s="27"/>
      <c r="W158" s="36"/>
      <c r="X158" s="146"/>
      <c r="Y158" s="136"/>
    </row>
    <row r="159" spans="2:25" x14ac:dyDescent="0.15">
      <c r="B159" s="28">
        <v>41915</v>
      </c>
      <c r="C159" s="135" t="s">
        <v>87</v>
      </c>
      <c r="D159" s="135" t="s">
        <v>226</v>
      </c>
      <c r="E159" s="340">
        <v>116.875</v>
      </c>
      <c r="F159" s="364">
        <v>20</v>
      </c>
      <c r="G159" s="27">
        <f>E159*F159</f>
        <v>2337.5</v>
      </c>
      <c r="H159" s="36">
        <v>9.99</v>
      </c>
      <c r="I159" s="146"/>
      <c r="J159" s="152"/>
      <c r="Q159" s="454"/>
      <c r="R159" s="135"/>
      <c r="S159" s="135"/>
      <c r="T159" s="340"/>
      <c r="U159" s="364"/>
      <c r="V159" s="27"/>
      <c r="W159" s="36"/>
      <c r="X159" s="146"/>
      <c r="Y159" s="136"/>
    </row>
    <row r="160" spans="2:25" x14ac:dyDescent="0.15">
      <c r="B160" s="28"/>
      <c r="C160" s="135"/>
      <c r="D160" s="135"/>
      <c r="E160" s="340"/>
      <c r="F160" s="364"/>
      <c r="G160" s="27"/>
      <c r="H160" s="36"/>
      <c r="I160" s="146"/>
      <c r="J160" s="152"/>
      <c r="Q160" s="454"/>
      <c r="R160" s="135"/>
      <c r="S160" s="135"/>
      <c r="T160" s="340"/>
      <c r="U160" s="364"/>
      <c r="V160" s="27"/>
      <c r="W160" s="36"/>
      <c r="X160" s="146"/>
      <c r="Y160" s="136"/>
    </row>
    <row r="161" spans="2:25" x14ac:dyDescent="0.15">
      <c r="B161" s="28">
        <v>41929</v>
      </c>
      <c r="C161" s="135" t="s">
        <v>10</v>
      </c>
      <c r="D161" s="135" t="s">
        <v>269</v>
      </c>
      <c r="E161" s="340">
        <v>70.47</v>
      </c>
      <c r="F161" s="364">
        <v>40</v>
      </c>
      <c r="G161" s="27">
        <f t="shared" ref="G161" si="0">E161*F161</f>
        <v>2818.8</v>
      </c>
      <c r="H161" s="36">
        <v>9.99</v>
      </c>
      <c r="I161" s="146"/>
      <c r="J161" s="152"/>
      <c r="Q161" s="454"/>
      <c r="R161" s="135"/>
      <c r="S161" s="135"/>
      <c r="T161" s="340"/>
      <c r="U161" s="364"/>
      <c r="V161" s="27"/>
      <c r="W161" s="36"/>
      <c r="X161" s="146"/>
      <c r="Y161" s="136"/>
    </row>
    <row r="162" spans="2:25" x14ac:dyDescent="0.15">
      <c r="B162" s="28"/>
      <c r="C162" s="135"/>
      <c r="D162" s="135"/>
      <c r="E162" s="340"/>
      <c r="F162" s="364"/>
      <c r="G162" s="27"/>
      <c r="H162" s="36"/>
      <c r="I162" s="146"/>
      <c r="J162" s="152"/>
      <c r="Q162" s="454"/>
      <c r="R162" s="135"/>
      <c r="S162" s="135"/>
      <c r="T162" s="340"/>
      <c r="U162" s="364"/>
      <c r="V162" s="27"/>
      <c r="W162" s="36"/>
      <c r="X162" s="146"/>
      <c r="Y162" s="136"/>
    </row>
    <row r="163" spans="2:25" x14ac:dyDescent="0.15">
      <c r="B163" s="28">
        <v>41947</v>
      </c>
      <c r="C163" s="135" t="s">
        <v>10</v>
      </c>
      <c r="D163" s="135" t="s">
        <v>271</v>
      </c>
      <c r="E163" s="340">
        <v>119.42</v>
      </c>
      <c r="F163" s="364">
        <v>25</v>
      </c>
      <c r="G163" s="27">
        <f t="shared" ref="G163:G171" si="1">E163*F163</f>
        <v>2985.5</v>
      </c>
      <c r="H163" s="36">
        <v>9.99</v>
      </c>
      <c r="I163" s="146"/>
      <c r="J163" s="152"/>
      <c r="Q163" s="454"/>
      <c r="R163" s="135"/>
      <c r="S163" s="135"/>
      <c r="T163" s="340"/>
      <c r="U163" s="364"/>
      <c r="V163" s="27"/>
      <c r="W163" s="36"/>
      <c r="X163" s="146"/>
      <c r="Y163" s="136"/>
    </row>
    <row r="164" spans="2:25" x14ac:dyDescent="0.15">
      <c r="B164" s="28"/>
      <c r="C164" s="135"/>
      <c r="D164" s="135"/>
      <c r="E164" s="340"/>
      <c r="F164" s="364"/>
      <c r="G164" s="27"/>
      <c r="H164" s="36"/>
      <c r="I164" s="146"/>
      <c r="J164" s="152"/>
      <c r="Q164" s="454"/>
      <c r="R164" s="135"/>
      <c r="S164" s="135"/>
      <c r="T164" s="340"/>
      <c r="U164" s="364"/>
      <c r="V164" s="27"/>
      <c r="W164" s="36"/>
      <c r="X164" s="146"/>
      <c r="Y164" s="136"/>
    </row>
    <row r="165" spans="2:25" x14ac:dyDescent="0.15">
      <c r="B165" s="28">
        <v>41982</v>
      </c>
      <c r="C165" s="135" t="s">
        <v>10</v>
      </c>
      <c r="D165" s="135" t="s">
        <v>276</v>
      </c>
      <c r="E165" s="340">
        <v>93.42</v>
      </c>
      <c r="F165" s="364">
        <v>23</v>
      </c>
      <c r="G165" s="27">
        <f t="shared" si="1"/>
        <v>2148.66</v>
      </c>
      <c r="H165" s="36">
        <v>9.99</v>
      </c>
      <c r="I165" s="146"/>
      <c r="J165" s="152"/>
      <c r="Q165" s="454"/>
      <c r="R165" s="135"/>
      <c r="S165" s="135"/>
      <c r="T165" s="340"/>
      <c r="U165" s="364"/>
      <c r="V165" s="27"/>
      <c r="W165" s="36"/>
      <c r="X165" s="146"/>
      <c r="Y165" s="136"/>
    </row>
    <row r="166" spans="2:25" x14ac:dyDescent="0.15">
      <c r="B166" s="28"/>
      <c r="C166" s="135"/>
      <c r="D166" s="135"/>
      <c r="E166" s="340"/>
      <c r="F166" s="364"/>
      <c r="G166" s="27"/>
      <c r="H166" s="36"/>
      <c r="I166" s="146"/>
      <c r="J166" s="152"/>
      <c r="Q166" s="454"/>
      <c r="R166" s="135"/>
      <c r="S166" s="135"/>
      <c r="T166" s="340"/>
      <c r="U166" s="364"/>
      <c r="V166" s="27"/>
      <c r="W166" s="36"/>
      <c r="X166" s="146"/>
      <c r="Y166" s="136"/>
    </row>
    <row r="167" spans="2:25" x14ac:dyDescent="0.15">
      <c r="B167" s="28">
        <v>42027</v>
      </c>
      <c r="C167" s="135" t="s">
        <v>87</v>
      </c>
      <c r="D167" s="135" t="s">
        <v>262</v>
      </c>
      <c r="E167" s="340">
        <v>48.61</v>
      </c>
      <c r="F167" s="364">
        <v>42</v>
      </c>
      <c r="G167" s="27">
        <f t="shared" si="1"/>
        <v>2041.62</v>
      </c>
      <c r="H167" s="36">
        <v>9.99</v>
      </c>
      <c r="I167" s="146"/>
      <c r="J167" s="152"/>
      <c r="Q167" s="454"/>
      <c r="R167" s="135"/>
      <c r="S167" s="135"/>
      <c r="T167" s="340"/>
      <c r="U167" s="364"/>
      <c r="V167" s="27"/>
      <c r="W167" s="36"/>
      <c r="X167" s="146"/>
      <c r="Y167" s="136"/>
    </row>
    <row r="168" spans="2:25" x14ac:dyDescent="0.15">
      <c r="B168" s="28"/>
      <c r="C168" s="135"/>
      <c r="D168" s="135"/>
      <c r="E168" s="340"/>
      <c r="F168" s="364"/>
      <c r="G168" s="27"/>
      <c r="H168" s="36"/>
      <c r="I168" s="146"/>
      <c r="J168" s="152"/>
      <c r="Q168" s="454"/>
      <c r="R168" s="135"/>
      <c r="S168" s="135"/>
      <c r="T168" s="340"/>
      <c r="U168" s="364"/>
      <c r="V168" s="27"/>
      <c r="W168" s="36"/>
      <c r="X168" s="146"/>
      <c r="Y168" s="136"/>
    </row>
    <row r="169" spans="2:25" x14ac:dyDescent="0.15">
      <c r="B169" s="28">
        <v>42027</v>
      </c>
      <c r="C169" s="135" t="s">
        <v>10</v>
      </c>
      <c r="D169" s="135" t="s">
        <v>274</v>
      </c>
      <c r="E169" s="340">
        <v>56.42</v>
      </c>
      <c r="F169" s="364">
        <v>36</v>
      </c>
      <c r="G169" s="27">
        <f t="shared" si="1"/>
        <v>2031.1200000000001</v>
      </c>
      <c r="H169" s="36">
        <v>9.99</v>
      </c>
      <c r="I169" s="146"/>
      <c r="J169" s="152"/>
      <c r="Q169" s="454"/>
      <c r="R169" s="135"/>
      <c r="S169" s="135"/>
      <c r="T169" s="340"/>
      <c r="U169" s="364"/>
      <c r="V169" s="27"/>
      <c r="W169" s="36"/>
      <c r="X169" s="146"/>
      <c r="Y169" s="136"/>
    </row>
    <row r="170" spans="2:25" x14ac:dyDescent="0.15">
      <c r="B170" s="28"/>
      <c r="C170" s="135"/>
      <c r="D170" s="135"/>
      <c r="E170" s="340"/>
      <c r="F170" s="364"/>
      <c r="G170" s="27"/>
      <c r="H170" s="36"/>
      <c r="I170" s="146"/>
      <c r="J170" s="152"/>
      <c r="Q170" s="454"/>
      <c r="R170" s="135"/>
      <c r="S170" s="135"/>
      <c r="T170" s="340"/>
      <c r="U170" s="364"/>
      <c r="V170" s="27"/>
      <c r="W170" s="36"/>
      <c r="X170" s="146"/>
      <c r="Y170" s="136"/>
    </row>
    <row r="171" spans="2:25" x14ac:dyDescent="0.15">
      <c r="B171" s="28">
        <v>42038</v>
      </c>
      <c r="C171" s="135" t="s">
        <v>87</v>
      </c>
      <c r="D171" s="135" t="s">
        <v>215</v>
      </c>
      <c r="E171" s="340">
        <v>10</v>
      </c>
      <c r="F171" s="364">
        <v>135</v>
      </c>
      <c r="G171" s="27">
        <f t="shared" si="1"/>
        <v>1350</v>
      </c>
      <c r="H171" s="36">
        <v>9.99</v>
      </c>
      <c r="I171" s="146"/>
      <c r="J171" s="152"/>
      <c r="Q171" s="454"/>
      <c r="R171" s="135"/>
      <c r="S171" s="135"/>
      <c r="T171" s="340"/>
      <c r="U171" s="364"/>
      <c r="V171" s="27"/>
      <c r="W171" s="36"/>
      <c r="X171" s="146"/>
      <c r="Y171" s="136"/>
    </row>
    <row r="172" spans="2:25" x14ac:dyDescent="0.15">
      <c r="B172" s="28"/>
      <c r="C172" s="135"/>
      <c r="D172" s="135"/>
      <c r="E172" s="340"/>
      <c r="F172" s="364"/>
      <c r="G172" s="27"/>
      <c r="H172" s="36"/>
      <c r="I172" s="146"/>
      <c r="J172" s="152"/>
      <c r="Q172" s="454"/>
      <c r="R172" s="135"/>
      <c r="S172" s="135"/>
      <c r="T172" s="340"/>
      <c r="U172" s="364"/>
      <c r="V172" s="27"/>
      <c r="W172" s="36"/>
      <c r="X172" s="146"/>
      <c r="Y172" s="136"/>
    </row>
    <row r="173" spans="2:25" x14ac:dyDescent="0.15">
      <c r="B173" s="28">
        <v>42173</v>
      </c>
      <c r="C173" s="135" t="s">
        <v>87</v>
      </c>
      <c r="D173" s="135" t="s">
        <v>208</v>
      </c>
      <c r="E173" s="340">
        <v>41.14</v>
      </c>
      <c r="F173" s="364">
        <v>77</v>
      </c>
      <c r="G173" s="27">
        <f>E173*F173</f>
        <v>3167.78</v>
      </c>
      <c r="H173" s="36">
        <v>9.99</v>
      </c>
      <c r="I173" s="146"/>
      <c r="J173" s="152"/>
      <c r="Q173" s="454"/>
      <c r="R173" s="135"/>
      <c r="S173" s="135"/>
      <c r="T173" s="340"/>
      <c r="U173" s="364"/>
      <c r="V173" s="27"/>
      <c r="W173" s="36"/>
      <c r="X173" s="146"/>
      <c r="Y173" s="136"/>
    </row>
    <row r="174" spans="2:25" x14ac:dyDescent="0.15">
      <c r="B174" s="28"/>
      <c r="C174" s="135"/>
      <c r="D174" s="135"/>
      <c r="E174" s="340"/>
      <c r="F174" s="364"/>
      <c r="G174" s="27"/>
      <c r="H174" s="36"/>
      <c r="I174" s="146"/>
      <c r="J174" s="152"/>
      <c r="Q174" s="454"/>
      <c r="R174" s="135"/>
      <c r="S174" s="135"/>
      <c r="T174" s="340"/>
      <c r="U174" s="364"/>
      <c r="V174" s="27"/>
      <c r="W174" s="36"/>
      <c r="X174" s="146"/>
      <c r="Y174" s="136"/>
    </row>
    <row r="175" spans="2:25" x14ac:dyDescent="0.15">
      <c r="B175" s="28">
        <v>42187</v>
      </c>
      <c r="C175" s="135" t="s">
        <v>87</v>
      </c>
      <c r="D175" s="135" t="s">
        <v>271</v>
      </c>
      <c r="E175" s="340">
        <v>116.44</v>
      </c>
      <c r="F175" s="364">
        <v>25</v>
      </c>
      <c r="G175" s="27">
        <f t="shared" ref="G175:G179" si="2">E175*F175</f>
        <v>2911</v>
      </c>
      <c r="H175" s="36">
        <v>9.99</v>
      </c>
      <c r="I175" s="146"/>
      <c r="J175" s="152"/>
      <c r="Q175" s="454"/>
      <c r="R175" s="135"/>
      <c r="S175" s="135"/>
      <c r="T175" s="340"/>
      <c r="U175" s="364"/>
      <c r="V175" s="27"/>
      <c r="W175" s="36"/>
      <c r="X175" s="146"/>
      <c r="Y175" s="136"/>
    </row>
    <row r="176" spans="2:25" x14ac:dyDescent="0.15">
      <c r="B176" s="28"/>
      <c r="C176" s="135"/>
      <c r="D176" s="135"/>
      <c r="E176" s="340"/>
      <c r="F176" s="364"/>
      <c r="G176" s="27"/>
      <c r="H176" s="36"/>
      <c r="I176" s="146"/>
      <c r="J176" s="152"/>
      <c r="Q176" s="454"/>
      <c r="R176" s="135"/>
      <c r="S176" s="135"/>
      <c r="T176" s="340"/>
      <c r="U176" s="364"/>
      <c r="V176" s="27"/>
      <c r="W176" s="36"/>
      <c r="X176" s="146"/>
      <c r="Y176" s="136"/>
    </row>
    <row r="177" spans="2:25" x14ac:dyDescent="0.15">
      <c r="B177" s="28">
        <v>42187</v>
      </c>
      <c r="C177" s="135" t="s">
        <v>87</v>
      </c>
      <c r="D177" s="135" t="s">
        <v>278</v>
      </c>
      <c r="E177" s="340">
        <v>27.86</v>
      </c>
      <c r="F177" s="364">
        <v>70</v>
      </c>
      <c r="G177" s="27">
        <f t="shared" si="2"/>
        <v>1950.2</v>
      </c>
      <c r="H177" s="36">
        <v>9.99</v>
      </c>
      <c r="I177" s="146"/>
      <c r="J177" s="152"/>
      <c r="Q177" s="454"/>
      <c r="R177" s="135"/>
      <c r="S177" s="135"/>
      <c r="T177" s="340"/>
      <c r="U177" s="364"/>
      <c r="V177" s="27"/>
      <c r="W177" s="36"/>
      <c r="X177" s="146"/>
      <c r="Y177" s="136"/>
    </row>
    <row r="178" spans="2:25" x14ac:dyDescent="0.15">
      <c r="B178" s="28"/>
      <c r="C178" s="135"/>
      <c r="D178" s="135"/>
      <c r="E178" s="340"/>
      <c r="F178" s="364"/>
      <c r="G178" s="27"/>
      <c r="H178" s="36"/>
      <c r="I178" s="146"/>
      <c r="J178" s="152"/>
      <c r="Q178" s="454"/>
      <c r="R178" s="135"/>
      <c r="S178" s="135"/>
      <c r="T178" s="340"/>
      <c r="U178" s="364"/>
      <c r="V178" s="27"/>
      <c r="W178" s="36"/>
      <c r="X178" s="146"/>
      <c r="Y178" s="136"/>
    </row>
    <row r="179" spans="2:25" x14ac:dyDescent="0.15">
      <c r="B179" s="28">
        <v>42187</v>
      </c>
      <c r="C179" s="135" t="s">
        <v>87</v>
      </c>
      <c r="D179" s="135" t="s">
        <v>274</v>
      </c>
      <c r="E179" s="340">
        <v>100.32</v>
      </c>
      <c r="F179" s="364">
        <v>36</v>
      </c>
      <c r="G179" s="27">
        <f t="shared" si="2"/>
        <v>3611.5199999999995</v>
      </c>
      <c r="H179" s="36">
        <v>9.99</v>
      </c>
      <c r="I179" s="146"/>
      <c r="J179" s="152"/>
      <c r="Q179" s="454"/>
      <c r="R179" s="135"/>
      <c r="S179" s="135"/>
      <c r="T179" s="340"/>
      <c r="U179" s="364"/>
      <c r="V179" s="27"/>
      <c r="W179" s="36"/>
      <c r="X179" s="146"/>
      <c r="Y179" s="136"/>
    </row>
    <row r="180" spans="2:25" x14ac:dyDescent="0.15">
      <c r="B180" s="28"/>
      <c r="C180" s="135"/>
      <c r="D180" s="135"/>
      <c r="E180" s="340"/>
      <c r="F180" s="364"/>
      <c r="G180" s="27"/>
      <c r="H180" s="36"/>
      <c r="I180" s="146"/>
      <c r="J180" s="152"/>
      <c r="Q180" s="454"/>
      <c r="R180" s="135"/>
      <c r="S180" s="135"/>
      <c r="T180" s="340"/>
      <c r="U180" s="364"/>
      <c r="V180" s="27"/>
      <c r="W180" s="36"/>
      <c r="X180" s="146"/>
      <c r="Y180" s="136"/>
    </row>
    <row r="181" spans="2:25" x14ac:dyDescent="0.15">
      <c r="B181" s="28">
        <v>42209</v>
      </c>
      <c r="C181" s="135" t="s">
        <v>10</v>
      </c>
      <c r="D181" s="135" t="s">
        <v>286</v>
      </c>
      <c r="E181" s="340">
        <v>116.8</v>
      </c>
      <c r="F181" s="364">
        <v>35</v>
      </c>
      <c r="G181" s="27">
        <v>4097.99</v>
      </c>
      <c r="H181" s="36">
        <v>9.99</v>
      </c>
      <c r="I181" s="146"/>
      <c r="J181" s="152"/>
      <c r="Q181" s="454"/>
      <c r="R181" s="135"/>
      <c r="S181" s="135"/>
      <c r="T181" s="340"/>
      <c r="U181" s="364"/>
      <c r="V181" s="27"/>
      <c r="W181" s="36"/>
      <c r="X181" s="146"/>
      <c r="Y181" s="136"/>
    </row>
    <row r="182" spans="2:25" x14ac:dyDescent="0.15">
      <c r="B182" s="28"/>
      <c r="C182" s="135"/>
      <c r="D182" s="135"/>
      <c r="E182" s="340"/>
      <c r="F182" s="364"/>
      <c r="G182" s="27"/>
      <c r="H182" s="36"/>
      <c r="I182" s="146"/>
      <c r="J182" s="152"/>
      <c r="Q182" s="454"/>
      <c r="R182" s="135"/>
      <c r="S182" s="135"/>
      <c r="T182" s="340"/>
      <c r="U182" s="364"/>
      <c r="V182" s="27"/>
      <c r="W182" s="36"/>
      <c r="X182" s="146"/>
      <c r="Y182" s="136"/>
    </row>
    <row r="183" spans="2:25" x14ac:dyDescent="0.15">
      <c r="B183" s="28">
        <v>42216</v>
      </c>
      <c r="C183" s="135" t="s">
        <v>10</v>
      </c>
      <c r="D183" s="135" t="s">
        <v>288</v>
      </c>
      <c r="E183" s="340">
        <v>113.72750000000001</v>
      </c>
      <c r="F183" s="364">
        <v>38</v>
      </c>
      <c r="G183" s="27">
        <v>4331.6400000000003</v>
      </c>
      <c r="H183" s="36">
        <v>9.99</v>
      </c>
      <c r="I183" s="146"/>
      <c r="J183" s="152"/>
      <c r="Q183" s="454"/>
      <c r="R183" s="135"/>
      <c r="S183" s="135"/>
      <c r="T183" s="340"/>
      <c r="U183" s="364"/>
      <c r="V183" s="27"/>
      <c r="W183" s="36"/>
      <c r="X183" s="146"/>
      <c r="Y183" s="136"/>
    </row>
    <row r="184" spans="2:25" x14ac:dyDescent="0.15">
      <c r="B184" s="28"/>
      <c r="C184" s="135"/>
      <c r="D184" s="135"/>
      <c r="E184" s="340"/>
      <c r="F184" s="364"/>
      <c r="G184" s="27"/>
      <c r="H184" s="36"/>
      <c r="I184" s="146"/>
      <c r="J184" s="152"/>
      <c r="Q184" s="454"/>
      <c r="R184" s="135"/>
      <c r="S184" s="135"/>
      <c r="T184" s="340"/>
      <c r="U184" s="364"/>
      <c r="V184" s="27"/>
      <c r="W184" s="36"/>
      <c r="X184" s="146"/>
      <c r="Y184" s="136"/>
    </row>
    <row r="185" spans="2:25" x14ac:dyDescent="0.15">
      <c r="B185" s="28">
        <v>42250</v>
      </c>
      <c r="C185" s="135" t="s">
        <v>87</v>
      </c>
      <c r="D185" s="135" t="s">
        <v>288</v>
      </c>
      <c r="E185" s="340">
        <v>102.38</v>
      </c>
      <c r="F185" s="364">
        <v>38</v>
      </c>
      <c r="G185" s="27">
        <v>3880.47</v>
      </c>
      <c r="H185" s="36">
        <v>9.99</v>
      </c>
      <c r="I185" s="146"/>
      <c r="J185" s="152"/>
      <c r="Q185" s="454"/>
      <c r="R185" s="135"/>
      <c r="S185" s="135"/>
      <c r="T185" s="340"/>
      <c r="U185" s="364"/>
      <c r="V185" s="27"/>
      <c r="W185" s="36"/>
      <c r="X185" s="146"/>
      <c r="Y185" s="136"/>
    </row>
    <row r="186" spans="2:25" x14ac:dyDescent="0.15">
      <c r="B186" s="28"/>
      <c r="C186" s="135"/>
      <c r="D186" s="135"/>
      <c r="E186" s="340"/>
      <c r="F186" s="364"/>
      <c r="G186" s="27"/>
      <c r="H186" s="36"/>
      <c r="I186" s="146"/>
      <c r="J186" s="152"/>
      <c r="Q186" s="454"/>
      <c r="R186" s="135"/>
      <c r="S186" s="135"/>
      <c r="T186" s="340"/>
      <c r="U186" s="364"/>
      <c r="V186" s="27"/>
      <c r="W186" s="36"/>
      <c r="X186" s="146"/>
      <c r="Y186" s="136"/>
    </row>
    <row r="187" spans="2:25" x14ac:dyDescent="0.15">
      <c r="B187" s="28">
        <v>42250</v>
      </c>
      <c r="C187" s="135" t="s">
        <v>87</v>
      </c>
      <c r="D187" s="135" t="s">
        <v>185</v>
      </c>
      <c r="E187" s="340">
        <v>16.63</v>
      </c>
      <c r="F187" s="364">
        <v>134</v>
      </c>
      <c r="G187" s="27">
        <v>2218.42</v>
      </c>
      <c r="H187" s="36">
        <v>9.99</v>
      </c>
      <c r="I187" s="146"/>
      <c r="J187" s="152"/>
      <c r="Q187" s="454"/>
      <c r="R187" s="135"/>
      <c r="S187" s="135"/>
      <c r="T187" s="340"/>
      <c r="U187" s="364"/>
      <c r="V187" s="27"/>
      <c r="W187" s="36"/>
      <c r="X187" s="146"/>
      <c r="Y187" s="136"/>
    </row>
    <row r="188" spans="2:25" x14ac:dyDescent="0.15">
      <c r="B188" s="28"/>
      <c r="C188" s="135"/>
      <c r="D188" s="135"/>
      <c r="E188" s="340"/>
      <c r="F188" s="364"/>
      <c r="G188" s="27"/>
      <c r="H188" s="36"/>
      <c r="I188" s="146"/>
      <c r="J188" s="152"/>
      <c r="Q188" s="454"/>
      <c r="R188" s="135"/>
      <c r="S188" s="135"/>
      <c r="T188" s="340"/>
      <c r="U188" s="364"/>
      <c r="V188" s="27"/>
      <c r="W188" s="36"/>
      <c r="X188" s="146"/>
      <c r="Y188" s="136"/>
    </row>
    <row r="189" spans="2:25" x14ac:dyDescent="0.15">
      <c r="B189" s="28">
        <v>42265</v>
      </c>
      <c r="C189" s="135" t="s">
        <v>10</v>
      </c>
      <c r="D189" s="135" t="s">
        <v>291</v>
      </c>
      <c r="E189" s="340">
        <v>87.06</v>
      </c>
      <c r="F189" s="364">
        <v>37</v>
      </c>
      <c r="G189" s="27">
        <v>3231.28</v>
      </c>
      <c r="H189" s="36">
        <v>9.99</v>
      </c>
      <c r="I189" s="146"/>
      <c r="J189" s="152"/>
      <c r="Q189" s="454"/>
      <c r="R189" s="135"/>
      <c r="S189" s="135"/>
      <c r="T189" s="340"/>
      <c r="U189" s="364"/>
      <c r="V189" s="27"/>
      <c r="W189" s="36"/>
      <c r="X189" s="146"/>
      <c r="Y189" s="136"/>
    </row>
    <row r="190" spans="2:25" x14ac:dyDescent="0.15">
      <c r="B190" s="28"/>
      <c r="C190" s="135"/>
      <c r="D190" s="135"/>
      <c r="E190" s="340"/>
      <c r="F190" s="364"/>
      <c r="G190" s="27"/>
      <c r="H190" s="36"/>
      <c r="I190" s="146"/>
      <c r="J190" s="152"/>
      <c r="Q190" s="454"/>
      <c r="R190" s="135"/>
      <c r="S190" s="135"/>
      <c r="T190" s="340"/>
      <c r="U190" s="364"/>
      <c r="V190" s="27"/>
      <c r="W190" s="36"/>
      <c r="X190" s="146"/>
      <c r="Y190" s="136"/>
    </row>
    <row r="191" spans="2:25" x14ac:dyDescent="0.15">
      <c r="B191" s="28">
        <v>42271</v>
      </c>
      <c r="C191" s="135" t="s">
        <v>87</v>
      </c>
      <c r="D191" s="135" t="s">
        <v>286</v>
      </c>
      <c r="E191" s="340">
        <v>100.05</v>
      </c>
      <c r="F191" s="364">
        <v>35</v>
      </c>
      <c r="G191" s="27">
        <v>3491.69</v>
      </c>
      <c r="H191" s="36">
        <v>9.99</v>
      </c>
      <c r="I191" s="146"/>
      <c r="J191" s="152"/>
      <c r="Q191" s="454"/>
      <c r="R191" s="135"/>
      <c r="S191" s="135"/>
      <c r="T191" s="340"/>
      <c r="U191" s="364"/>
      <c r="V191" s="27"/>
      <c r="W191" s="36"/>
      <c r="X191" s="146"/>
      <c r="Y191" s="136"/>
    </row>
    <row r="192" spans="2:25" x14ac:dyDescent="0.15">
      <c r="B192" s="28"/>
      <c r="C192" s="135"/>
      <c r="D192" s="135"/>
      <c r="E192" s="340"/>
      <c r="F192" s="364"/>
      <c r="G192" s="27"/>
      <c r="H192" s="36"/>
      <c r="I192" s="146"/>
      <c r="J192" s="152"/>
      <c r="Q192" s="454"/>
      <c r="R192" s="135"/>
      <c r="S192" s="135"/>
      <c r="T192" s="340"/>
      <c r="U192" s="364"/>
      <c r="V192" s="27"/>
      <c r="W192" s="36"/>
      <c r="X192" s="146"/>
      <c r="Y192" s="136"/>
    </row>
    <row r="193" spans="2:25" x14ac:dyDescent="0.15">
      <c r="B193" s="28">
        <v>42275</v>
      </c>
      <c r="C193" s="135" t="s">
        <v>10</v>
      </c>
      <c r="D193" s="135" t="s">
        <v>293</v>
      </c>
      <c r="E193" s="340">
        <v>22.67</v>
      </c>
      <c r="F193" s="364">
        <v>170</v>
      </c>
      <c r="G193" s="27">
        <v>3864.4</v>
      </c>
      <c r="H193" s="36">
        <v>9.99</v>
      </c>
      <c r="I193" s="146"/>
      <c r="J193" s="152"/>
      <c r="Q193" s="454"/>
      <c r="R193" s="135"/>
      <c r="S193" s="135"/>
      <c r="T193" s="340"/>
      <c r="U193" s="364"/>
      <c r="V193" s="27"/>
      <c r="W193" s="36"/>
      <c r="X193" s="146"/>
      <c r="Y193" s="136"/>
    </row>
    <row r="194" spans="2:25" x14ac:dyDescent="0.15">
      <c r="B194" s="28"/>
      <c r="C194" s="135"/>
      <c r="D194" s="135"/>
      <c r="E194" s="340"/>
      <c r="F194" s="364"/>
      <c r="G194" s="27"/>
      <c r="H194" s="36"/>
      <c r="I194" s="146"/>
      <c r="J194" s="152"/>
      <c r="Q194" s="454"/>
      <c r="R194" s="135"/>
      <c r="S194" s="135"/>
      <c r="T194" s="340"/>
      <c r="U194" s="364"/>
      <c r="V194" s="27"/>
      <c r="W194" s="36"/>
      <c r="X194" s="146"/>
      <c r="Y194" s="136"/>
    </row>
    <row r="195" spans="2:25" x14ac:dyDescent="0.15">
      <c r="B195" s="28">
        <v>42275</v>
      </c>
      <c r="C195" s="135" t="s">
        <v>87</v>
      </c>
      <c r="D195" s="135" t="s">
        <v>232</v>
      </c>
      <c r="E195" s="340">
        <v>152.58000000000001</v>
      </c>
      <c r="F195" s="364">
        <v>18</v>
      </c>
      <c r="G195" s="27">
        <v>2736.39</v>
      </c>
      <c r="H195" s="36">
        <v>9.99</v>
      </c>
      <c r="I195" s="146"/>
      <c r="J195" s="152"/>
      <c r="Q195" s="454"/>
      <c r="R195" s="135"/>
      <c r="S195" s="135"/>
      <c r="T195" s="340"/>
      <c r="U195" s="364"/>
      <c r="V195" s="27"/>
      <c r="W195" s="36"/>
      <c r="X195" s="146"/>
      <c r="Y195" s="136"/>
    </row>
    <row r="196" spans="2:25" x14ac:dyDescent="0.15">
      <c r="B196" s="28"/>
      <c r="C196" s="135"/>
      <c r="D196" s="135"/>
      <c r="E196" s="340"/>
      <c r="F196" s="364"/>
      <c r="G196" s="27"/>
      <c r="H196" s="36"/>
      <c r="I196" s="146"/>
      <c r="J196" s="152"/>
      <c r="Q196" s="454"/>
      <c r="R196" s="135"/>
      <c r="S196" s="135"/>
      <c r="T196" s="340"/>
      <c r="U196" s="364"/>
      <c r="V196" s="27"/>
      <c r="W196" s="36"/>
      <c r="X196" s="146"/>
      <c r="Y196" s="136"/>
    </row>
    <row r="197" spans="2:25" x14ac:dyDescent="0.15">
      <c r="B197" s="28">
        <v>42286</v>
      </c>
      <c r="C197" s="135" t="s">
        <v>87</v>
      </c>
      <c r="D197" s="135" t="s">
        <v>195</v>
      </c>
      <c r="E197" s="340">
        <v>24.9</v>
      </c>
      <c r="F197" s="364">
        <v>75</v>
      </c>
      <c r="G197" s="27">
        <v>1857.6</v>
      </c>
      <c r="H197" s="36">
        <v>9.99</v>
      </c>
      <c r="I197" s="146"/>
      <c r="J197" s="152"/>
      <c r="Q197" s="454"/>
      <c r="R197" s="135"/>
      <c r="S197" s="135"/>
      <c r="T197" s="340"/>
      <c r="U197" s="364"/>
      <c r="V197" s="27"/>
      <c r="W197" s="36"/>
      <c r="X197" s="146"/>
      <c r="Y197" s="136"/>
    </row>
    <row r="198" spans="2:25" x14ac:dyDescent="0.15">
      <c r="B198" s="28"/>
      <c r="C198" s="135"/>
      <c r="D198" s="135"/>
      <c r="E198" s="340"/>
      <c r="F198" s="364"/>
      <c r="G198" s="27"/>
      <c r="H198" s="36"/>
      <c r="I198" s="146"/>
      <c r="J198" s="152"/>
      <c r="Q198" s="454"/>
      <c r="R198" s="135"/>
      <c r="S198" s="135"/>
      <c r="T198" s="340"/>
      <c r="U198" s="364"/>
      <c r="V198" s="27"/>
      <c r="W198" s="36"/>
      <c r="X198" s="146"/>
      <c r="Y198" s="136"/>
    </row>
    <row r="199" spans="2:25" x14ac:dyDescent="0.15">
      <c r="B199" s="28">
        <v>42289</v>
      </c>
      <c r="C199" s="135" t="s">
        <v>10</v>
      </c>
      <c r="D199" s="135" t="s">
        <v>295</v>
      </c>
      <c r="E199" s="340">
        <v>23.04</v>
      </c>
      <c r="F199" s="364">
        <v>57</v>
      </c>
      <c r="G199" s="27">
        <v>1323.49</v>
      </c>
      <c r="H199" s="36">
        <v>9.99</v>
      </c>
      <c r="I199" s="146"/>
      <c r="J199" s="152"/>
      <c r="Q199" s="454"/>
      <c r="R199" s="135"/>
      <c r="S199" s="135"/>
      <c r="T199" s="340"/>
      <c r="U199" s="364"/>
      <c r="V199" s="27"/>
      <c r="W199" s="36"/>
      <c r="X199" s="146"/>
      <c r="Y199" s="136"/>
    </row>
    <row r="200" spans="2:25" x14ac:dyDescent="0.15">
      <c r="B200" s="28"/>
      <c r="C200" s="135"/>
      <c r="D200" s="135"/>
      <c r="E200" s="340"/>
      <c r="F200" s="364"/>
      <c r="G200" s="27"/>
      <c r="H200" s="36"/>
      <c r="I200" s="146"/>
      <c r="J200" s="152"/>
      <c r="Q200" s="454"/>
      <c r="R200" s="135"/>
      <c r="S200" s="135"/>
      <c r="T200" s="340"/>
      <c r="U200" s="364"/>
      <c r="V200" s="27"/>
      <c r="W200" s="36"/>
      <c r="X200" s="146"/>
      <c r="Y200" s="136"/>
    </row>
    <row r="201" spans="2:25" x14ac:dyDescent="0.15">
      <c r="B201" s="28">
        <v>42296</v>
      </c>
      <c r="C201" s="135" t="s">
        <v>87</v>
      </c>
      <c r="D201" s="135" t="s">
        <v>295</v>
      </c>
      <c r="E201" s="340">
        <v>25.26</v>
      </c>
      <c r="F201" s="364">
        <v>57</v>
      </c>
      <c r="G201" s="27">
        <f>E201*F201</f>
        <v>1439.8200000000002</v>
      </c>
      <c r="H201" s="36">
        <v>9.99</v>
      </c>
      <c r="I201" s="146"/>
      <c r="J201" s="152"/>
      <c r="Q201" s="454"/>
      <c r="R201" s="135"/>
      <c r="S201" s="135"/>
      <c r="T201" s="340"/>
      <c r="U201" s="364"/>
      <c r="V201" s="27"/>
      <c r="W201" s="36"/>
      <c r="X201" s="146"/>
      <c r="Y201" s="136"/>
    </row>
    <row r="202" spans="2:25" x14ac:dyDescent="0.15">
      <c r="B202" s="28"/>
      <c r="C202" s="135"/>
      <c r="D202" s="135"/>
      <c r="E202" s="340"/>
      <c r="F202" s="364"/>
      <c r="G202" s="27"/>
      <c r="H202" s="36"/>
      <c r="I202" s="146"/>
      <c r="J202" s="152"/>
      <c r="Q202" s="454"/>
      <c r="R202" s="135"/>
      <c r="S202" s="135"/>
      <c r="T202" s="340"/>
      <c r="U202" s="364"/>
      <c r="V202" s="27"/>
      <c r="W202" s="36"/>
      <c r="X202" s="146"/>
      <c r="Y202" s="136"/>
    </row>
    <row r="203" spans="2:25" x14ac:dyDescent="0.15">
      <c r="B203" s="28">
        <v>42321</v>
      </c>
      <c r="C203" s="135" t="s">
        <v>10</v>
      </c>
      <c r="D203" s="135" t="s">
        <v>298</v>
      </c>
      <c r="E203" s="340">
        <v>96.65</v>
      </c>
      <c r="F203" s="364">
        <v>35</v>
      </c>
      <c r="G203" s="27">
        <v>3392.97</v>
      </c>
      <c r="H203" s="36">
        <v>9.99</v>
      </c>
      <c r="I203" s="146"/>
      <c r="J203" s="152"/>
      <c r="Q203" s="454"/>
      <c r="R203" s="135"/>
      <c r="S203" s="135"/>
      <c r="T203" s="340"/>
      <c r="U203" s="364"/>
      <c r="V203" s="27"/>
      <c r="W203" s="36"/>
      <c r="X203" s="146"/>
      <c r="Y203" s="136"/>
    </row>
    <row r="204" spans="2:25" x14ac:dyDescent="0.15">
      <c r="B204" s="28"/>
      <c r="C204" s="135"/>
      <c r="D204" s="135"/>
      <c r="E204" s="340"/>
      <c r="F204" s="364"/>
      <c r="G204" s="27"/>
      <c r="H204" s="36"/>
      <c r="I204" s="146"/>
      <c r="J204" s="152"/>
      <c r="Q204" s="454"/>
      <c r="R204" s="135"/>
      <c r="S204" s="135"/>
      <c r="T204" s="340"/>
      <c r="U204" s="364"/>
      <c r="V204" s="27"/>
      <c r="W204" s="36"/>
      <c r="X204" s="146"/>
      <c r="Y204" s="136"/>
    </row>
    <row r="205" spans="2:25" x14ac:dyDescent="0.15">
      <c r="B205" s="28">
        <v>42426</v>
      </c>
      <c r="C205" s="135" t="s">
        <v>87</v>
      </c>
      <c r="D205" s="135" t="s">
        <v>106</v>
      </c>
      <c r="E205" s="340">
        <v>14.4</v>
      </c>
      <c r="F205" s="364">
        <v>197</v>
      </c>
      <c r="G205" s="27">
        <v>2826.74</v>
      </c>
      <c r="H205" s="36">
        <v>9.99</v>
      </c>
      <c r="I205" s="146"/>
      <c r="J205" s="152"/>
      <c r="Q205" s="454"/>
      <c r="R205" s="135"/>
      <c r="S205" s="135"/>
      <c r="T205" s="340"/>
      <c r="U205" s="364"/>
      <c r="V205" s="27"/>
      <c r="W205" s="36"/>
      <c r="X205" s="146"/>
      <c r="Y205" s="136"/>
    </row>
    <row r="206" spans="2:25" x14ac:dyDescent="0.15">
      <c r="B206" s="28"/>
      <c r="C206" s="135"/>
      <c r="D206" s="135"/>
      <c r="E206" s="340"/>
      <c r="F206" s="364"/>
      <c r="G206" s="27"/>
      <c r="H206" s="36"/>
      <c r="I206" s="146"/>
      <c r="J206" s="152"/>
      <c r="Q206" s="454"/>
      <c r="R206" s="135"/>
      <c r="S206" s="135"/>
      <c r="T206" s="340"/>
      <c r="U206" s="364"/>
      <c r="V206" s="27"/>
      <c r="W206" s="36"/>
      <c r="X206" s="146"/>
      <c r="Y206" s="136"/>
    </row>
    <row r="207" spans="2:25" x14ac:dyDescent="0.15">
      <c r="B207" s="28">
        <v>42535</v>
      </c>
      <c r="C207" s="135" t="s">
        <v>87</v>
      </c>
      <c r="D207" s="135" t="s">
        <v>211</v>
      </c>
      <c r="E207" s="340">
        <v>40.200000000000003</v>
      </c>
      <c r="F207" s="364">
        <v>109</v>
      </c>
      <c r="G207" s="27">
        <v>4371.71</v>
      </c>
      <c r="H207" s="36">
        <v>9.99</v>
      </c>
      <c r="I207" s="146"/>
      <c r="J207" s="152"/>
      <c r="Q207" s="454"/>
      <c r="R207" s="135"/>
      <c r="S207" s="135"/>
      <c r="T207" s="340"/>
      <c r="U207" s="364"/>
      <c r="V207" s="27"/>
      <c r="W207" s="36"/>
      <c r="X207" s="146"/>
      <c r="Y207" s="136"/>
    </row>
    <row r="208" spans="2:25" x14ac:dyDescent="0.15">
      <c r="B208" s="28"/>
      <c r="C208" s="135"/>
      <c r="D208" s="135"/>
      <c r="E208" s="340"/>
      <c r="F208" s="364"/>
      <c r="G208" s="27"/>
      <c r="H208" s="36"/>
      <c r="I208" s="146"/>
      <c r="J208" s="152"/>
      <c r="Q208" s="454"/>
      <c r="R208" s="135"/>
      <c r="S208" s="135"/>
      <c r="T208" s="340"/>
      <c r="U208" s="364"/>
      <c r="V208" s="27"/>
      <c r="W208" s="36"/>
      <c r="X208" s="146"/>
      <c r="Y208" s="136"/>
    </row>
    <row r="209" spans="2:25" x14ac:dyDescent="0.15">
      <c r="B209" s="28">
        <v>42537</v>
      </c>
      <c r="C209" s="135" t="s">
        <v>87</v>
      </c>
      <c r="D209" s="135" t="s">
        <v>56</v>
      </c>
      <c r="E209" s="340">
        <v>46.069000000000003</v>
      </c>
      <c r="F209" s="364">
        <v>56</v>
      </c>
      <c r="G209" s="27">
        <v>2569.81</v>
      </c>
      <c r="H209" s="36">
        <v>9.99</v>
      </c>
      <c r="I209" s="146"/>
      <c r="J209" s="152"/>
      <c r="Q209" s="454"/>
      <c r="R209" s="135"/>
      <c r="S209" s="135"/>
      <c r="T209" s="340"/>
      <c r="U209" s="364"/>
      <c r="V209" s="27"/>
      <c r="W209" s="36"/>
      <c r="X209" s="146"/>
      <c r="Y209" s="136"/>
    </row>
    <row r="210" spans="2:25" x14ac:dyDescent="0.15">
      <c r="B210" s="28"/>
      <c r="C210" s="135"/>
      <c r="D210" s="135"/>
      <c r="E210" s="340"/>
      <c r="F210" s="364"/>
      <c r="G210" s="27"/>
      <c r="H210" s="36"/>
      <c r="I210" s="146"/>
      <c r="J210" s="152"/>
      <c r="Q210" s="454"/>
      <c r="R210" s="135"/>
      <c r="S210" s="135"/>
      <c r="T210" s="340"/>
      <c r="U210" s="364"/>
      <c r="V210" s="27"/>
      <c r="W210" s="36"/>
      <c r="X210" s="146"/>
      <c r="Y210" s="136"/>
    </row>
    <row r="211" spans="2:25" x14ac:dyDescent="0.15">
      <c r="B211" s="28">
        <v>42630</v>
      </c>
      <c r="C211" s="162" t="s">
        <v>10</v>
      </c>
      <c r="D211" s="162" t="s">
        <v>299</v>
      </c>
      <c r="E211" s="340">
        <v>776.99</v>
      </c>
      <c r="F211" s="364">
        <v>5</v>
      </c>
      <c r="G211" s="27">
        <v>3894.99</v>
      </c>
      <c r="H211" s="36">
        <v>9.99</v>
      </c>
      <c r="I211" s="146"/>
      <c r="J211" s="152"/>
      <c r="Q211" s="454"/>
      <c r="R211" s="135"/>
      <c r="S211" s="135"/>
      <c r="T211" s="340"/>
      <c r="U211" s="364"/>
      <c r="V211" s="27"/>
      <c r="W211" s="36"/>
      <c r="X211" s="146"/>
      <c r="Y211" s="136"/>
    </row>
    <row r="212" spans="2:25" x14ac:dyDescent="0.15">
      <c r="B212" s="28"/>
      <c r="C212" s="135"/>
      <c r="D212" s="135"/>
      <c r="E212" s="340"/>
      <c r="F212" s="364"/>
      <c r="G212" s="27"/>
      <c r="H212" s="36"/>
      <c r="I212" s="146"/>
      <c r="J212" s="152"/>
      <c r="Q212" s="454"/>
      <c r="R212" s="135"/>
      <c r="S212" s="135"/>
      <c r="T212" s="340"/>
      <c r="U212" s="364"/>
      <c r="V212" s="27"/>
      <c r="W212" s="36"/>
      <c r="X212" s="146"/>
      <c r="Y212" s="136"/>
    </row>
    <row r="213" spans="2:25" x14ac:dyDescent="0.15">
      <c r="B213" s="28">
        <v>42650</v>
      </c>
      <c r="C213" s="162" t="s">
        <v>12</v>
      </c>
      <c r="D213" s="162" t="s">
        <v>177</v>
      </c>
      <c r="E213" s="340">
        <v>67.709999999999994</v>
      </c>
      <c r="F213" s="364">
        <v>84</v>
      </c>
      <c r="G213" s="27">
        <v>5677.56</v>
      </c>
      <c r="H213" s="36">
        <v>9.99</v>
      </c>
      <c r="I213" s="146"/>
      <c r="J213" s="152"/>
      <c r="Q213" s="454"/>
      <c r="R213" s="135"/>
      <c r="S213" s="135"/>
      <c r="T213" s="340"/>
      <c r="U213" s="364"/>
      <c r="V213" s="27"/>
      <c r="W213" s="36"/>
      <c r="X213" s="146"/>
      <c r="Y213" s="136"/>
    </row>
    <row r="214" spans="2:25" x14ac:dyDescent="0.15">
      <c r="B214" s="28"/>
      <c r="C214" s="135"/>
      <c r="D214" s="135"/>
      <c r="E214" s="340"/>
      <c r="F214" s="364"/>
      <c r="G214" s="27"/>
      <c r="H214" s="36"/>
      <c r="I214" s="146"/>
      <c r="J214" s="152"/>
      <c r="Q214" s="454"/>
      <c r="R214" s="135"/>
      <c r="S214" s="135"/>
      <c r="T214" s="340"/>
      <c r="U214" s="364"/>
      <c r="V214" s="27"/>
      <c r="W214" s="36"/>
      <c r="X214" s="146"/>
      <c r="Y214" s="136"/>
    </row>
    <row r="215" spans="2:25" x14ac:dyDescent="0.15">
      <c r="B215" s="28">
        <v>42650</v>
      </c>
      <c r="C215" s="162" t="s">
        <v>10</v>
      </c>
      <c r="D215" s="162" t="s">
        <v>300</v>
      </c>
      <c r="E215" s="340">
        <v>78.22</v>
      </c>
      <c r="F215" s="364">
        <v>20</v>
      </c>
      <c r="G215" s="27">
        <v>1574.39</v>
      </c>
      <c r="H215" s="36">
        <v>9.99</v>
      </c>
      <c r="I215" s="146"/>
      <c r="J215" s="152"/>
      <c r="Q215" s="454"/>
      <c r="R215" s="135"/>
      <c r="S215" s="135"/>
      <c r="T215" s="340"/>
      <c r="U215" s="364"/>
      <c r="V215" s="27"/>
      <c r="W215" s="36"/>
      <c r="X215" s="146"/>
      <c r="Y215" s="136"/>
    </row>
    <row r="216" spans="2:25" x14ac:dyDescent="0.15">
      <c r="B216" s="28"/>
      <c r="C216" s="135"/>
      <c r="D216" s="135"/>
      <c r="E216" s="340"/>
      <c r="F216" s="364"/>
      <c r="G216" s="27"/>
      <c r="H216" s="36"/>
      <c r="I216" s="146"/>
      <c r="J216" s="152"/>
      <c r="Q216" s="454"/>
      <c r="R216" s="135"/>
      <c r="S216" s="135"/>
      <c r="T216" s="340"/>
      <c r="U216" s="364"/>
      <c r="V216" s="27"/>
      <c r="W216" s="36"/>
      <c r="X216" s="146"/>
      <c r="Y216" s="136"/>
    </row>
    <row r="217" spans="2:25" x14ac:dyDescent="0.15">
      <c r="B217" s="28">
        <v>42662</v>
      </c>
      <c r="C217" s="162" t="s">
        <v>12</v>
      </c>
      <c r="D217" s="162" t="s">
        <v>291</v>
      </c>
      <c r="E217" s="340">
        <v>77.41</v>
      </c>
      <c r="F217" s="364">
        <v>37</v>
      </c>
      <c r="G217" s="27">
        <v>2854.12</v>
      </c>
      <c r="H217" s="36">
        <v>9.99</v>
      </c>
      <c r="I217" s="146"/>
      <c r="J217" s="152"/>
      <c r="Q217" s="454"/>
      <c r="R217" s="135"/>
      <c r="S217" s="135"/>
      <c r="T217" s="340"/>
      <c r="U217" s="364"/>
      <c r="V217" s="27"/>
      <c r="W217" s="36"/>
      <c r="X217" s="146"/>
      <c r="Y217" s="136"/>
    </row>
    <row r="218" spans="2:25" x14ac:dyDescent="0.15">
      <c r="B218" s="28"/>
      <c r="C218" s="135"/>
      <c r="D218" s="135"/>
      <c r="E218" s="340"/>
      <c r="F218" s="364"/>
      <c r="G218" s="27"/>
      <c r="H218" s="36"/>
      <c r="I218" s="146"/>
      <c r="J218" s="152"/>
      <c r="Q218" s="454"/>
      <c r="R218" s="135"/>
      <c r="S218" s="135"/>
      <c r="T218" s="340"/>
      <c r="U218" s="364"/>
      <c r="V218" s="27"/>
      <c r="W218" s="36"/>
      <c r="X218" s="146"/>
      <c r="Y218" s="136"/>
    </row>
    <row r="219" spans="2:25" x14ac:dyDescent="0.15">
      <c r="B219" s="28">
        <v>42664</v>
      </c>
      <c r="C219" s="162" t="s">
        <v>12</v>
      </c>
      <c r="D219" s="162" t="s">
        <v>298</v>
      </c>
      <c r="E219" s="340">
        <v>104.4</v>
      </c>
      <c r="F219" s="364">
        <v>35</v>
      </c>
      <c r="G219" s="27">
        <v>3643.94</v>
      </c>
      <c r="H219" s="36">
        <v>9.99</v>
      </c>
      <c r="I219" s="146"/>
      <c r="J219" s="152"/>
      <c r="Q219" s="454"/>
      <c r="R219" s="135"/>
      <c r="S219" s="135"/>
      <c r="T219" s="340"/>
      <c r="U219" s="364"/>
      <c r="V219" s="27"/>
      <c r="W219" s="36"/>
      <c r="X219" s="146"/>
      <c r="Y219" s="136"/>
    </row>
    <row r="220" spans="2:25" x14ac:dyDescent="0.15">
      <c r="B220" s="28"/>
      <c r="C220" s="135"/>
      <c r="D220" s="135"/>
      <c r="E220" s="340"/>
      <c r="F220" s="364"/>
      <c r="G220" s="27"/>
      <c r="H220" s="36"/>
      <c r="I220" s="146"/>
      <c r="J220" s="152"/>
      <c r="Q220" s="454"/>
      <c r="R220" s="135"/>
      <c r="S220" s="135"/>
      <c r="T220" s="340"/>
      <c r="U220" s="364"/>
      <c r="V220" s="27"/>
      <c r="W220" s="36"/>
      <c r="X220" s="146"/>
      <c r="Y220" s="136"/>
    </row>
    <row r="221" spans="2:25" x14ac:dyDescent="0.15">
      <c r="B221" s="28">
        <v>42671</v>
      </c>
      <c r="C221" s="162" t="s">
        <v>10</v>
      </c>
      <c r="D221" s="162" t="s">
        <v>211</v>
      </c>
      <c r="E221" s="340">
        <v>41.59</v>
      </c>
      <c r="F221" s="364">
        <v>50</v>
      </c>
      <c r="G221" s="27">
        <v>2089.4899999999998</v>
      </c>
      <c r="H221" s="36">
        <v>9.99</v>
      </c>
      <c r="I221" s="146"/>
      <c r="J221" s="152"/>
      <c r="Q221" s="454"/>
      <c r="R221" s="135"/>
      <c r="S221" s="135"/>
      <c r="T221" s="340"/>
      <c r="U221" s="364"/>
      <c r="V221" s="27"/>
      <c r="W221" s="36"/>
      <c r="X221" s="146"/>
      <c r="Y221" s="136"/>
    </row>
    <row r="222" spans="2:25" x14ac:dyDescent="0.15">
      <c r="B222" s="28"/>
      <c r="C222" s="135"/>
      <c r="D222" s="135"/>
      <c r="E222" s="340"/>
      <c r="F222" s="364"/>
      <c r="G222" s="27"/>
      <c r="H222" s="36"/>
      <c r="I222" s="146"/>
      <c r="J222" s="152"/>
      <c r="Q222" s="454"/>
      <c r="R222" s="135"/>
      <c r="S222" s="135"/>
      <c r="T222" s="340"/>
      <c r="U222" s="364"/>
      <c r="V222" s="27"/>
      <c r="W222" s="36"/>
      <c r="X222" s="146"/>
      <c r="Y222" s="136"/>
    </row>
    <row r="223" spans="2:25" x14ac:dyDescent="0.15">
      <c r="B223" s="28">
        <v>42671</v>
      </c>
      <c r="C223" s="162" t="s">
        <v>10</v>
      </c>
      <c r="D223" s="162" t="s">
        <v>271</v>
      </c>
      <c r="E223" s="340">
        <v>130.47</v>
      </c>
      <c r="F223" s="364">
        <v>75</v>
      </c>
      <c r="G223" s="27">
        <v>9795.24</v>
      </c>
      <c r="H223" s="36">
        <v>9.99</v>
      </c>
      <c r="I223" s="146"/>
      <c r="J223" s="152"/>
      <c r="Q223" s="454"/>
      <c r="R223" s="135"/>
      <c r="S223" s="135"/>
      <c r="T223" s="340"/>
      <c r="U223" s="364"/>
      <c r="V223" s="27"/>
      <c r="W223" s="36"/>
      <c r="X223" s="146"/>
      <c r="Y223" s="136"/>
    </row>
    <row r="224" spans="2:25" x14ac:dyDescent="0.15">
      <c r="B224" s="28"/>
      <c r="C224" s="135"/>
      <c r="D224" s="135"/>
      <c r="E224" s="340"/>
      <c r="F224" s="364"/>
      <c r="G224" s="27"/>
      <c r="H224" s="36"/>
      <c r="I224" s="146"/>
      <c r="J224" s="152"/>
      <c r="Q224" s="454"/>
      <c r="R224" s="135"/>
      <c r="S224" s="135"/>
      <c r="T224" s="340"/>
      <c r="U224" s="364"/>
      <c r="V224" s="27"/>
      <c r="W224" s="36"/>
      <c r="X224" s="146"/>
      <c r="Y224" s="136"/>
    </row>
    <row r="225" spans="2:25" x14ac:dyDescent="0.15">
      <c r="B225" s="28">
        <v>42671</v>
      </c>
      <c r="C225" s="162" t="s">
        <v>10</v>
      </c>
      <c r="D225" s="162" t="s">
        <v>301</v>
      </c>
      <c r="E225" s="340">
        <v>50.894599999999997</v>
      </c>
      <c r="F225" s="364">
        <v>195</v>
      </c>
      <c r="G225" s="27">
        <v>9934.44</v>
      </c>
      <c r="H225" s="36">
        <v>9.99</v>
      </c>
      <c r="I225" s="146"/>
      <c r="J225" s="152"/>
      <c r="Q225" s="454"/>
      <c r="R225" s="135"/>
      <c r="S225" s="135"/>
      <c r="T225" s="340"/>
      <c r="U225" s="364"/>
      <c r="V225" s="27"/>
      <c r="W225" s="36"/>
      <c r="X225" s="146"/>
      <c r="Y225" s="136"/>
    </row>
    <row r="226" spans="2:25" x14ac:dyDescent="0.15">
      <c r="B226" s="28"/>
      <c r="C226" s="135"/>
      <c r="D226" s="135"/>
      <c r="E226" s="340"/>
      <c r="F226" s="364"/>
      <c r="G226" s="27"/>
      <c r="H226" s="36"/>
      <c r="I226" s="146"/>
      <c r="J226" s="152"/>
      <c r="Q226" s="454"/>
      <c r="R226" s="135"/>
      <c r="S226" s="135"/>
      <c r="T226" s="340"/>
      <c r="U226" s="364"/>
      <c r="V226" s="27"/>
      <c r="W226" s="36"/>
      <c r="X226" s="146"/>
      <c r="Y226" s="136"/>
    </row>
    <row r="227" spans="2:25" x14ac:dyDescent="0.15">
      <c r="B227" s="28">
        <v>42675</v>
      </c>
      <c r="C227" s="162" t="s">
        <v>12</v>
      </c>
      <c r="D227" s="162" t="s">
        <v>50</v>
      </c>
      <c r="E227" s="340">
        <v>34.505000000000003</v>
      </c>
      <c r="F227" s="364">
        <v>124</v>
      </c>
      <c r="G227" s="27">
        <v>4268.54</v>
      </c>
      <c r="H227" s="36">
        <v>9.99</v>
      </c>
      <c r="I227" s="146"/>
      <c r="J227" s="152"/>
      <c r="Q227" s="454"/>
      <c r="R227" s="135"/>
      <c r="S227" s="135"/>
      <c r="T227" s="340"/>
      <c r="U227" s="364"/>
      <c r="V227" s="27"/>
      <c r="W227" s="36"/>
      <c r="X227" s="146"/>
      <c r="Y227" s="136"/>
    </row>
    <row r="228" spans="2:25" x14ac:dyDescent="0.15">
      <c r="B228" s="28"/>
      <c r="C228" s="135"/>
      <c r="D228" s="135"/>
      <c r="E228" s="340"/>
      <c r="F228" s="364"/>
      <c r="G228" s="27"/>
      <c r="H228" s="36"/>
      <c r="I228" s="146"/>
      <c r="J228" s="152"/>
      <c r="Q228" s="454"/>
      <c r="R228" s="135"/>
      <c r="S228" s="135"/>
      <c r="T228" s="340"/>
      <c r="U228" s="364"/>
      <c r="V228" s="27"/>
      <c r="W228" s="36"/>
      <c r="X228" s="146"/>
      <c r="Y228" s="136"/>
    </row>
    <row r="229" spans="2:25" x14ac:dyDescent="0.15">
      <c r="B229" s="28">
        <v>42676</v>
      </c>
      <c r="C229" s="162" t="s">
        <v>12</v>
      </c>
      <c r="D229" s="162" t="s">
        <v>269</v>
      </c>
      <c r="E229" s="340">
        <v>79.055599999999998</v>
      </c>
      <c r="F229" s="364">
        <v>42</v>
      </c>
      <c r="G229" s="27">
        <v>3310.28</v>
      </c>
      <c r="H229" s="36">
        <v>9.99</v>
      </c>
      <c r="I229" s="146"/>
      <c r="J229" s="152"/>
      <c r="Q229" s="454"/>
      <c r="R229" s="135"/>
      <c r="S229" s="135"/>
      <c r="T229" s="340"/>
      <c r="U229" s="364"/>
      <c r="V229" s="27"/>
      <c r="W229" s="36"/>
      <c r="X229" s="146"/>
      <c r="Y229" s="136"/>
    </row>
    <row r="230" spans="2:25" x14ac:dyDescent="0.15">
      <c r="B230" s="28"/>
      <c r="C230" s="135"/>
      <c r="D230" s="135"/>
      <c r="E230" s="340"/>
      <c r="F230" s="364"/>
      <c r="G230" s="27"/>
      <c r="H230" s="36"/>
      <c r="I230" s="146"/>
      <c r="J230" s="152"/>
      <c r="Q230" s="454"/>
      <c r="R230" s="135"/>
      <c r="S230" s="135"/>
      <c r="T230" s="340"/>
      <c r="U230" s="364"/>
      <c r="V230" s="27"/>
      <c r="W230" s="36"/>
      <c r="X230" s="146"/>
      <c r="Y230" s="136"/>
    </row>
    <row r="231" spans="2:25" x14ac:dyDescent="0.15">
      <c r="B231" s="28">
        <v>42688</v>
      </c>
      <c r="C231" s="162" t="s">
        <v>10</v>
      </c>
      <c r="D231" s="162" t="s">
        <v>50</v>
      </c>
      <c r="E231" s="340">
        <v>34.409999999999997</v>
      </c>
      <c r="F231" s="364">
        <v>125</v>
      </c>
      <c r="G231" s="27">
        <v>3581.54</v>
      </c>
      <c r="H231" s="36">
        <v>9.99</v>
      </c>
      <c r="I231" s="146"/>
      <c r="J231" s="152"/>
      <c r="Q231" s="454"/>
      <c r="R231" s="135"/>
      <c r="S231" s="135"/>
      <c r="T231" s="340"/>
      <c r="U231" s="364"/>
      <c r="V231" s="27"/>
      <c r="W231" s="36"/>
      <c r="X231" s="146"/>
      <c r="Y231" s="136"/>
    </row>
    <row r="232" spans="2:25" x14ac:dyDescent="0.15">
      <c r="B232" s="28"/>
      <c r="C232" s="135"/>
      <c r="D232" s="135"/>
      <c r="E232" s="340"/>
      <c r="F232" s="364"/>
      <c r="G232" s="27"/>
      <c r="H232" s="36"/>
      <c r="I232" s="146"/>
      <c r="J232" s="152"/>
      <c r="Q232" s="454"/>
      <c r="R232" s="135"/>
      <c r="S232" s="135"/>
      <c r="T232" s="340"/>
      <c r="U232" s="364"/>
      <c r="V232" s="27"/>
      <c r="W232" s="36"/>
      <c r="X232" s="146"/>
      <c r="Y232" s="136"/>
    </row>
    <row r="233" spans="2:25" x14ac:dyDescent="0.15">
      <c r="B233" s="28">
        <v>42689</v>
      </c>
      <c r="C233" s="162" t="s">
        <v>10</v>
      </c>
      <c r="D233" s="162" t="s">
        <v>52</v>
      </c>
      <c r="E233" s="340">
        <v>79.95</v>
      </c>
      <c r="F233" s="364">
        <v>31</v>
      </c>
      <c r="G233" s="27">
        <v>2488.44</v>
      </c>
      <c r="H233" s="36">
        <v>9.99</v>
      </c>
      <c r="I233" s="146"/>
      <c r="J233" s="152"/>
      <c r="Q233" s="454"/>
      <c r="R233" s="135"/>
      <c r="S233" s="135"/>
      <c r="T233" s="340"/>
      <c r="U233" s="364"/>
      <c r="V233" s="27"/>
      <c r="W233" s="36"/>
      <c r="X233" s="146"/>
      <c r="Y233" s="136"/>
    </row>
    <row r="234" spans="2:25" ht="13" customHeight="1" x14ac:dyDescent="0.15">
      <c r="B234" s="28"/>
      <c r="C234" s="135"/>
      <c r="D234" s="135"/>
      <c r="E234" s="340"/>
      <c r="F234" s="364"/>
      <c r="G234" s="27"/>
      <c r="H234" s="36"/>
      <c r="I234" s="146"/>
      <c r="J234" s="152"/>
      <c r="Q234" s="454"/>
      <c r="R234" s="135"/>
      <c r="S234" s="135"/>
      <c r="T234" s="340"/>
      <c r="U234" s="364"/>
      <c r="V234" s="27"/>
      <c r="W234" s="36"/>
      <c r="X234" s="146"/>
      <c r="Y234" s="136"/>
    </row>
    <row r="235" spans="2:25" x14ac:dyDescent="0.15">
      <c r="B235" s="28">
        <v>42691</v>
      </c>
      <c r="C235" s="162" t="s">
        <v>12</v>
      </c>
      <c r="D235" s="162" t="s">
        <v>271</v>
      </c>
      <c r="E235" s="340">
        <v>121.4353</v>
      </c>
      <c r="F235" s="364">
        <v>35</v>
      </c>
      <c r="G235" s="27">
        <v>4240.16</v>
      </c>
      <c r="H235" s="36">
        <v>9.99</v>
      </c>
      <c r="I235" s="146"/>
      <c r="J235" s="152"/>
      <c r="Q235" s="454"/>
      <c r="R235" s="135"/>
      <c r="S235" s="135"/>
      <c r="T235" s="340"/>
      <c r="U235" s="364"/>
      <c r="V235" s="27"/>
      <c r="W235" s="36"/>
      <c r="X235" s="146"/>
      <c r="Y235" s="136"/>
    </row>
    <row r="236" spans="2:25" x14ac:dyDescent="0.15">
      <c r="B236" s="28"/>
      <c r="C236" s="135"/>
      <c r="D236" s="135"/>
      <c r="E236" s="340"/>
      <c r="F236" s="364"/>
      <c r="G236" s="27"/>
      <c r="H236" s="36"/>
      <c r="I236" s="146"/>
      <c r="J236" s="152"/>
      <c r="Q236" s="454"/>
      <c r="R236" s="135"/>
      <c r="S236" s="135"/>
      <c r="T236" s="340"/>
      <c r="U236" s="364"/>
      <c r="V236" s="27"/>
      <c r="W236" s="36"/>
      <c r="X236" s="146"/>
      <c r="Y236" s="136"/>
    </row>
    <row r="237" spans="2:25" x14ac:dyDescent="0.15">
      <c r="B237" s="28">
        <v>42695</v>
      </c>
      <c r="C237" s="162" t="s">
        <v>10</v>
      </c>
      <c r="D237" s="162" t="s">
        <v>302</v>
      </c>
      <c r="E237" s="340">
        <v>51.145200000000003</v>
      </c>
      <c r="F237" s="364">
        <v>100</v>
      </c>
      <c r="G237" s="27">
        <v>5124.51</v>
      </c>
      <c r="H237" s="36">
        <v>9.99</v>
      </c>
      <c r="I237" s="146"/>
      <c r="J237" s="152"/>
      <c r="Q237" s="454"/>
      <c r="R237" s="135"/>
      <c r="S237" s="135"/>
      <c r="T237" s="340"/>
      <c r="U237" s="364"/>
      <c r="V237" s="27"/>
      <c r="W237" s="36"/>
      <c r="X237" s="146"/>
      <c r="Y237" s="136"/>
    </row>
    <row r="238" spans="2:25" x14ac:dyDescent="0.15">
      <c r="B238" s="28"/>
      <c r="C238" s="135"/>
      <c r="D238" s="135"/>
      <c r="E238" s="340"/>
      <c r="F238" s="364"/>
      <c r="G238" s="27"/>
      <c r="H238" s="36"/>
      <c r="I238" s="146"/>
      <c r="J238" s="152"/>
      <c r="Q238" s="454"/>
      <c r="R238" s="135"/>
      <c r="S238" s="135"/>
      <c r="T238" s="340"/>
      <c r="U238" s="364"/>
      <c r="V238" s="27"/>
      <c r="W238" s="36"/>
      <c r="X238" s="146"/>
      <c r="Y238" s="136"/>
    </row>
    <row r="239" spans="2:25" x14ac:dyDescent="0.15">
      <c r="B239" s="28">
        <v>42704</v>
      </c>
      <c r="C239" s="162" t="s">
        <v>12</v>
      </c>
      <c r="D239" s="162" t="s">
        <v>271</v>
      </c>
      <c r="E239" s="340">
        <v>120.16500000000001</v>
      </c>
      <c r="F239" s="364">
        <v>40</v>
      </c>
      <c r="G239" s="27">
        <v>4796.51</v>
      </c>
      <c r="H239" s="36">
        <v>9.99</v>
      </c>
      <c r="I239" s="146"/>
      <c r="J239" s="152"/>
      <c r="Q239" s="454"/>
      <c r="R239" s="135"/>
      <c r="S239" s="135"/>
      <c r="T239" s="340"/>
      <c r="U239" s="364"/>
      <c r="V239" s="27"/>
      <c r="W239" s="36"/>
      <c r="X239" s="146"/>
      <c r="Y239" s="136"/>
    </row>
    <row r="240" spans="2:25" x14ac:dyDescent="0.15">
      <c r="B240" s="28"/>
      <c r="C240" s="135"/>
      <c r="D240" s="135"/>
      <c r="E240" s="340"/>
      <c r="F240" s="364"/>
      <c r="G240" s="27"/>
      <c r="H240" s="36"/>
      <c r="I240" s="146"/>
      <c r="J240" s="152"/>
      <c r="Q240" s="454"/>
      <c r="R240" s="135"/>
      <c r="S240" s="135"/>
      <c r="T240" s="340"/>
      <c r="U240" s="364"/>
      <c r="V240" s="27"/>
      <c r="W240" s="36"/>
      <c r="X240" s="146"/>
      <c r="Y240" s="136"/>
    </row>
    <row r="241" spans="2:25" x14ac:dyDescent="0.15">
      <c r="B241" s="28">
        <v>42704</v>
      </c>
      <c r="C241" s="162" t="s">
        <v>10</v>
      </c>
      <c r="D241" s="162" t="s">
        <v>301</v>
      </c>
      <c r="E241" s="340">
        <v>52.775100000000002</v>
      </c>
      <c r="F241" s="364">
        <v>80</v>
      </c>
      <c r="G241" s="27">
        <f>E241*F241+H241</f>
        <v>4231.9979999999996</v>
      </c>
      <c r="H241" s="36">
        <v>9.99</v>
      </c>
      <c r="I241" s="146"/>
      <c r="J241" s="152"/>
      <c r="Q241" s="454"/>
      <c r="R241" s="135"/>
      <c r="S241" s="135"/>
      <c r="T241" s="340"/>
      <c r="U241" s="364"/>
      <c r="V241" s="27"/>
      <c r="W241" s="36"/>
      <c r="X241" s="146"/>
      <c r="Y241" s="136"/>
    </row>
    <row r="242" spans="2:25" x14ac:dyDescent="0.15">
      <c r="B242" s="28"/>
      <c r="C242" s="162"/>
      <c r="D242" s="162"/>
      <c r="E242" s="340"/>
      <c r="F242" s="364"/>
      <c r="G242" s="27"/>
      <c r="H242" s="36"/>
      <c r="I242" s="146"/>
      <c r="J242" s="152"/>
      <c r="Q242" s="454"/>
      <c r="R242" s="135"/>
      <c r="S242" s="135"/>
      <c r="T242" s="340"/>
      <c r="U242" s="364"/>
      <c r="V242" s="27"/>
      <c r="W242" s="36"/>
      <c r="X242" s="146"/>
      <c r="Y242" s="136"/>
    </row>
    <row r="243" spans="2:25" x14ac:dyDescent="0.15">
      <c r="B243" s="28">
        <v>42762</v>
      </c>
      <c r="C243" s="162" t="s">
        <v>12</v>
      </c>
      <c r="D243" s="162" t="s">
        <v>293</v>
      </c>
      <c r="E243" s="340">
        <v>35.694800000000001</v>
      </c>
      <c r="F243" s="364">
        <v>85</v>
      </c>
      <c r="G243" s="27">
        <f>F243*E243+H243</f>
        <v>3044.0479999999998</v>
      </c>
      <c r="H243" s="36">
        <v>9.99</v>
      </c>
      <c r="I243" s="146"/>
      <c r="J243" s="152"/>
      <c r="Q243" s="454"/>
      <c r="R243" s="135"/>
      <c r="S243" s="135"/>
      <c r="T243" s="340"/>
      <c r="U243" s="364"/>
      <c r="V243" s="27"/>
      <c r="W243" s="36"/>
      <c r="X243" s="146"/>
      <c r="Y243" s="136"/>
    </row>
    <row r="244" spans="2:25" x14ac:dyDescent="0.15">
      <c r="B244" s="28"/>
      <c r="C244" s="162"/>
      <c r="D244" s="162"/>
      <c r="E244" s="340"/>
      <c r="F244" s="364"/>
      <c r="G244" s="27"/>
      <c r="H244" s="36"/>
      <c r="I244" s="146"/>
      <c r="J244" s="152"/>
      <c r="Q244" s="454"/>
      <c r="R244" s="135"/>
      <c r="S244" s="135"/>
      <c r="T244" s="340"/>
      <c r="U244" s="364"/>
      <c r="V244" s="27"/>
      <c r="W244" s="36"/>
      <c r="X244" s="146"/>
      <c r="Y244" s="136"/>
    </row>
    <row r="245" spans="2:25" x14ac:dyDescent="0.15">
      <c r="B245" s="28">
        <v>42762</v>
      </c>
      <c r="C245" s="162" t="s">
        <v>10</v>
      </c>
      <c r="D245" s="162" t="s">
        <v>301</v>
      </c>
      <c r="E245" s="340">
        <v>54.624499999999998</v>
      </c>
      <c r="F245" s="364">
        <v>55</v>
      </c>
      <c r="G245" s="27">
        <f>F245*E245+H245</f>
        <v>3014.3374999999996</v>
      </c>
      <c r="H245" s="36">
        <v>9.99</v>
      </c>
      <c r="I245" s="146"/>
      <c r="J245" s="152"/>
      <c r="Q245" s="454"/>
      <c r="R245" s="135"/>
      <c r="S245" s="135"/>
      <c r="T245" s="340"/>
      <c r="U245" s="364"/>
      <c r="V245" s="27"/>
      <c r="W245" s="36"/>
      <c r="X245" s="146"/>
      <c r="Y245" s="136"/>
    </row>
    <row r="246" spans="2:25" x14ac:dyDescent="0.15">
      <c r="B246" s="28"/>
      <c r="C246" s="162"/>
      <c r="D246" s="162"/>
      <c r="E246" s="340"/>
      <c r="F246" s="364"/>
      <c r="G246" s="27"/>
      <c r="H246" s="36"/>
      <c r="I246" s="146"/>
      <c r="J246" s="152"/>
      <c r="Q246" s="454"/>
      <c r="R246" s="135"/>
      <c r="S246" s="135"/>
      <c r="T246" s="340"/>
      <c r="U246" s="364"/>
      <c r="V246" s="27"/>
      <c r="W246" s="36"/>
      <c r="X246" s="146"/>
      <c r="Y246" s="136"/>
    </row>
    <row r="247" spans="2:25" x14ac:dyDescent="0.15">
      <c r="B247" s="28">
        <v>42776</v>
      </c>
      <c r="C247" s="162" t="s">
        <v>10</v>
      </c>
      <c r="D247" s="162" t="s">
        <v>315</v>
      </c>
      <c r="E247" s="340">
        <v>174.23840000000001</v>
      </c>
      <c r="F247" s="364">
        <v>20</v>
      </c>
      <c r="G247" s="27">
        <f>F247*E247+H247</f>
        <v>3494.7579999999998</v>
      </c>
      <c r="H247" s="36">
        <v>9.99</v>
      </c>
      <c r="I247" s="146"/>
      <c r="J247" s="152"/>
      <c r="Q247" s="454"/>
      <c r="R247" s="135"/>
      <c r="S247" s="135"/>
      <c r="T247" s="340"/>
      <c r="U247" s="364"/>
      <c r="V247" s="27"/>
      <c r="W247" s="36"/>
      <c r="X247" s="146"/>
      <c r="Y247" s="136"/>
    </row>
    <row r="248" spans="2:25" x14ac:dyDescent="0.15">
      <c r="B248" s="28"/>
      <c r="C248" s="162"/>
      <c r="D248" s="162"/>
      <c r="E248" s="340"/>
      <c r="F248" s="364"/>
      <c r="G248" s="27"/>
      <c r="H248" s="36"/>
      <c r="I248" s="146"/>
      <c r="J248" s="152"/>
      <c r="Q248" s="454"/>
      <c r="R248" s="135"/>
      <c r="S248" s="135"/>
      <c r="T248" s="340"/>
      <c r="U248" s="364"/>
      <c r="V248" s="27"/>
      <c r="W248" s="36"/>
      <c r="X248" s="146"/>
      <c r="Y248" s="136"/>
    </row>
    <row r="249" spans="2:25" x14ac:dyDescent="0.15">
      <c r="B249" s="28">
        <v>42814</v>
      </c>
      <c r="C249" s="162" t="s">
        <v>12</v>
      </c>
      <c r="D249" s="162" t="s">
        <v>52</v>
      </c>
      <c r="E249" s="340">
        <v>82.16</v>
      </c>
      <c r="F249" s="364">
        <v>31</v>
      </c>
      <c r="G249" s="27">
        <f>F249*E249+H249</f>
        <v>2556.9499999999998</v>
      </c>
      <c r="H249" s="36">
        <v>9.99</v>
      </c>
      <c r="I249" s="146"/>
      <c r="J249" s="152"/>
      <c r="Q249" s="454"/>
      <c r="R249" s="135"/>
      <c r="S249" s="135"/>
      <c r="T249" s="340"/>
      <c r="U249" s="364"/>
      <c r="V249" s="27"/>
      <c r="W249" s="36"/>
      <c r="X249" s="146"/>
      <c r="Y249" s="136"/>
    </row>
    <row r="250" spans="2:25" x14ac:dyDescent="0.15">
      <c r="B250" s="28"/>
      <c r="C250" s="162"/>
      <c r="D250" s="162"/>
      <c r="E250" s="340"/>
      <c r="F250" s="364"/>
      <c r="G250" s="27"/>
      <c r="H250" s="36"/>
      <c r="I250" s="146"/>
      <c r="J250" s="152"/>
      <c r="Q250" s="454"/>
      <c r="R250" s="135"/>
      <c r="S250" s="135"/>
      <c r="T250" s="340"/>
      <c r="U250" s="364"/>
      <c r="V250" s="27"/>
      <c r="W250" s="36"/>
      <c r="X250" s="146"/>
      <c r="Y250" s="136"/>
    </row>
    <row r="251" spans="2:25" x14ac:dyDescent="0.15">
      <c r="B251" s="28">
        <v>42814</v>
      </c>
      <c r="C251" s="162" t="s">
        <v>10</v>
      </c>
      <c r="D251" s="162" t="s">
        <v>316</v>
      </c>
      <c r="E251" s="340">
        <v>24.56</v>
      </c>
      <c r="F251" s="364">
        <v>100</v>
      </c>
      <c r="G251" s="27">
        <f>F251*E251+H251</f>
        <v>2462.9499999999998</v>
      </c>
      <c r="H251" s="36">
        <v>6.95</v>
      </c>
      <c r="I251" s="146"/>
      <c r="J251" s="152"/>
      <c r="Q251" s="454"/>
      <c r="R251" s="135"/>
      <c r="S251" s="135"/>
      <c r="T251" s="340"/>
      <c r="U251" s="364"/>
      <c r="V251" s="27"/>
      <c r="W251" s="36"/>
      <c r="X251" s="146"/>
      <c r="Y251" s="136"/>
    </row>
    <row r="252" spans="2:25" x14ac:dyDescent="0.15">
      <c r="B252" s="28"/>
      <c r="C252" s="162"/>
      <c r="D252" s="162"/>
      <c r="E252" s="340"/>
      <c r="F252" s="364"/>
      <c r="G252" s="27"/>
      <c r="H252" s="36"/>
      <c r="I252" s="146"/>
      <c r="J252" s="152"/>
      <c r="Q252" s="454"/>
      <c r="R252" s="135"/>
      <c r="S252" s="135"/>
      <c r="T252" s="340"/>
      <c r="U252" s="364"/>
      <c r="V252" s="27"/>
      <c r="W252" s="36"/>
      <c r="X252" s="146"/>
      <c r="Y252" s="136"/>
    </row>
    <row r="253" spans="2:25" x14ac:dyDescent="0.15">
      <c r="B253" s="28">
        <v>42842</v>
      </c>
      <c r="C253" s="162" t="s">
        <v>12</v>
      </c>
      <c r="D253" s="162" t="s">
        <v>301</v>
      </c>
      <c r="E253" s="340">
        <v>55.655000000000001</v>
      </c>
      <c r="F253" s="364">
        <v>50</v>
      </c>
      <c r="G253" s="27">
        <f>F253*E253+H253</f>
        <v>2789.7</v>
      </c>
      <c r="H253" s="36">
        <v>6.95</v>
      </c>
      <c r="I253" s="146"/>
      <c r="J253" s="152"/>
      <c r="Q253" s="454"/>
      <c r="R253" s="135"/>
      <c r="S253" s="135"/>
      <c r="T253" s="340"/>
      <c r="U253" s="364"/>
      <c r="V253" s="27"/>
      <c r="W253" s="36"/>
      <c r="X253" s="146"/>
      <c r="Y253" s="136"/>
    </row>
    <row r="254" spans="2:25" x14ac:dyDescent="0.15">
      <c r="B254" s="28"/>
      <c r="C254" s="162"/>
      <c r="D254" s="162"/>
      <c r="E254" s="340"/>
      <c r="F254" s="364"/>
      <c r="G254" s="27"/>
      <c r="H254" s="36"/>
      <c r="I254" s="146"/>
      <c r="J254" s="152"/>
      <c r="Q254" s="454"/>
      <c r="R254" s="135"/>
      <c r="S254" s="135"/>
      <c r="T254" s="340"/>
      <c r="U254" s="364"/>
      <c r="V254" s="27"/>
      <c r="W254" s="36"/>
      <c r="X254" s="146"/>
      <c r="Y254" s="136"/>
    </row>
    <row r="255" spans="2:25" x14ac:dyDescent="0.15">
      <c r="B255" s="28">
        <v>42842</v>
      </c>
      <c r="C255" s="162" t="s">
        <v>10</v>
      </c>
      <c r="D255" s="162" t="s">
        <v>317</v>
      </c>
      <c r="E255" s="340">
        <v>89.329700000000003</v>
      </c>
      <c r="F255" s="364">
        <v>50</v>
      </c>
      <c r="G255" s="27">
        <f>F255*E255+H255</f>
        <v>4473.4350000000004</v>
      </c>
      <c r="H255" s="36">
        <v>6.95</v>
      </c>
      <c r="I255" s="146"/>
      <c r="J255" s="152"/>
      <c r="Q255" s="454"/>
      <c r="R255" s="135"/>
      <c r="S255" s="135"/>
      <c r="T255" s="340"/>
      <c r="U255" s="364"/>
      <c r="V255" s="27"/>
      <c r="W255" s="36"/>
      <c r="X255" s="146"/>
      <c r="Y255" s="136"/>
    </row>
    <row r="256" spans="2:25" x14ac:dyDescent="0.15">
      <c r="B256" s="28"/>
      <c r="C256" s="162"/>
      <c r="D256" s="162"/>
      <c r="E256" s="340"/>
      <c r="F256" s="364"/>
      <c r="G256" s="27"/>
      <c r="H256" s="36"/>
      <c r="I256" s="146"/>
      <c r="J256" s="152"/>
      <c r="Q256" s="454"/>
      <c r="R256" s="135"/>
      <c r="S256" s="135"/>
      <c r="T256" s="340"/>
      <c r="U256" s="364"/>
      <c r="V256" s="27"/>
      <c r="W256" s="36"/>
      <c r="X256" s="146"/>
      <c r="Y256" s="136"/>
    </row>
    <row r="257" spans="2:25" x14ac:dyDescent="0.15">
      <c r="B257" s="28">
        <v>42853</v>
      </c>
      <c r="C257" s="162" t="s">
        <v>12</v>
      </c>
      <c r="D257" s="162" t="s">
        <v>299</v>
      </c>
      <c r="E257" s="340">
        <v>949.49</v>
      </c>
      <c r="F257" s="364">
        <v>5</v>
      </c>
      <c r="G257" s="27">
        <v>4747.45</v>
      </c>
      <c r="H257" s="36">
        <v>6.95</v>
      </c>
      <c r="I257" s="146"/>
      <c r="J257" s="152"/>
      <c r="Q257" s="454"/>
      <c r="R257" s="135"/>
      <c r="S257" s="135"/>
      <c r="T257" s="340"/>
      <c r="U257" s="364"/>
      <c r="V257" s="27"/>
      <c r="W257" s="36"/>
      <c r="X257" s="146"/>
      <c r="Y257" s="136"/>
    </row>
    <row r="258" spans="2:25" x14ac:dyDescent="0.15">
      <c r="B258" s="28"/>
      <c r="C258" s="162"/>
      <c r="D258" s="162"/>
      <c r="E258" s="340"/>
      <c r="F258" s="364"/>
      <c r="G258" s="27"/>
      <c r="H258" s="36"/>
      <c r="I258" s="146"/>
      <c r="J258" s="152"/>
      <c r="Q258" s="454"/>
      <c r="R258" s="135"/>
      <c r="S258" s="135"/>
      <c r="T258" s="340"/>
      <c r="U258" s="364"/>
      <c r="V258" s="27"/>
      <c r="W258" s="36"/>
      <c r="X258" s="146"/>
      <c r="Y258" s="136"/>
    </row>
    <row r="259" spans="2:25" x14ac:dyDescent="0.15">
      <c r="B259" s="28">
        <v>42856</v>
      </c>
      <c r="C259" s="162" t="s">
        <v>12</v>
      </c>
      <c r="D259" s="162" t="s">
        <v>302</v>
      </c>
      <c r="E259" s="340">
        <v>62.755299999999998</v>
      </c>
      <c r="F259" s="364">
        <v>101</v>
      </c>
      <c r="G259" s="27">
        <f>F259*E259+H259</f>
        <v>6345.2352999999994</v>
      </c>
      <c r="H259" s="36">
        <v>6.95</v>
      </c>
      <c r="I259" s="146"/>
      <c r="J259" s="152"/>
      <c r="Q259" s="454"/>
      <c r="R259" s="135"/>
      <c r="S259" s="135"/>
      <c r="T259" s="340"/>
      <c r="U259" s="364"/>
      <c r="V259" s="27"/>
      <c r="W259" s="36"/>
      <c r="X259" s="146"/>
      <c r="Y259" s="136"/>
    </row>
    <row r="260" spans="2:25" x14ac:dyDescent="0.15">
      <c r="B260" s="28"/>
      <c r="C260" s="162"/>
      <c r="D260" s="162"/>
      <c r="E260" s="340"/>
      <c r="F260" s="364"/>
      <c r="G260" s="27"/>
      <c r="H260" s="36"/>
      <c r="I260" s="146"/>
      <c r="J260" s="152"/>
      <c r="Q260" s="454"/>
      <c r="R260" s="135"/>
      <c r="S260" s="135"/>
      <c r="T260" s="340"/>
      <c r="U260" s="364"/>
      <c r="V260" s="27"/>
      <c r="W260" s="36"/>
      <c r="X260" s="146"/>
      <c r="Y260" s="136"/>
    </row>
    <row r="261" spans="2:25" x14ac:dyDescent="0.15">
      <c r="B261" s="28">
        <v>42857</v>
      </c>
      <c r="C261" s="162" t="s">
        <v>10</v>
      </c>
      <c r="D261" s="162" t="s">
        <v>318</v>
      </c>
      <c r="E261" s="340">
        <v>20.764700000000001</v>
      </c>
      <c r="F261" s="364">
        <v>190</v>
      </c>
      <c r="G261" s="27">
        <f>F261*E261+H261</f>
        <v>3952.2429999999999</v>
      </c>
      <c r="H261" s="36">
        <v>6.95</v>
      </c>
      <c r="I261" s="146"/>
      <c r="J261" s="152"/>
      <c r="Q261" s="454"/>
      <c r="R261" s="135"/>
      <c r="S261" s="135"/>
      <c r="T261" s="340"/>
      <c r="U261" s="364"/>
      <c r="V261" s="27"/>
      <c r="W261" s="36"/>
      <c r="X261" s="146"/>
      <c r="Y261" s="136"/>
    </row>
    <row r="262" spans="2:25" x14ac:dyDescent="0.15">
      <c r="B262" s="28"/>
      <c r="C262" s="135"/>
      <c r="D262" s="135"/>
      <c r="E262" s="340"/>
      <c r="F262" s="364"/>
      <c r="G262" s="27"/>
      <c r="H262" s="36"/>
      <c r="I262" s="146"/>
      <c r="J262" s="152"/>
      <c r="Q262" s="454"/>
      <c r="R262" s="135"/>
      <c r="S262" s="135"/>
      <c r="T262" s="340"/>
      <c r="U262" s="364"/>
      <c r="V262" s="27"/>
      <c r="W262" s="36"/>
      <c r="X262" s="146"/>
      <c r="Y262" s="136"/>
    </row>
    <row r="263" spans="2:25" ht="14" thickBot="1" x14ac:dyDescent="0.2">
      <c r="B263" s="28"/>
      <c r="C263" s="184"/>
      <c r="D263" s="529" t="s">
        <v>88</v>
      </c>
      <c r="E263" s="529"/>
      <c r="F263" s="529"/>
      <c r="G263" s="529"/>
      <c r="H263" s="529"/>
      <c r="I263" s="529"/>
      <c r="J263" s="22"/>
      <c r="Q263" s="454"/>
      <c r="R263" s="135"/>
      <c r="S263" s="135"/>
      <c r="T263" s="340"/>
      <c r="U263" s="364"/>
      <c r="V263" s="27"/>
      <c r="W263" s="36"/>
      <c r="X263" s="146"/>
      <c r="Y263" s="136"/>
    </row>
    <row r="264" spans="2:25" ht="15.75" customHeight="1" x14ac:dyDescent="0.2">
      <c r="B264" s="175" t="s">
        <v>150</v>
      </c>
      <c r="C264" s="176"/>
      <c r="D264" s="23" t="s">
        <v>10</v>
      </c>
      <c r="E264" s="21" t="s">
        <v>93</v>
      </c>
      <c r="F264" s="21"/>
      <c r="G264" s="21"/>
      <c r="H264" s="21"/>
      <c r="I264" s="21"/>
      <c r="J264" s="22"/>
      <c r="Q264" s="454"/>
      <c r="R264" s="135"/>
      <c r="S264" s="135"/>
      <c r="T264" s="340"/>
      <c r="U264" s="364"/>
      <c r="V264" s="27"/>
      <c r="W264" s="36"/>
      <c r="X264" s="146"/>
      <c r="Y264" s="136"/>
    </row>
    <row r="265" spans="2:25" ht="12.75" customHeight="1" x14ac:dyDescent="0.2">
      <c r="B265" s="174"/>
      <c r="C265" s="177"/>
      <c r="D265" s="23" t="s">
        <v>11</v>
      </c>
      <c r="E265" s="21" t="s">
        <v>13</v>
      </c>
      <c r="F265" s="21"/>
      <c r="G265" s="21"/>
      <c r="H265" s="21"/>
      <c r="I265" s="21"/>
      <c r="J265" s="22"/>
      <c r="Q265" s="454"/>
      <c r="R265" s="135"/>
      <c r="S265" s="135"/>
      <c r="T265" s="340"/>
      <c r="U265" s="364"/>
      <c r="V265" s="27"/>
      <c r="W265" s="36"/>
      <c r="X265" s="146"/>
      <c r="Y265" s="136"/>
    </row>
    <row r="266" spans="2:25" ht="12.75" customHeight="1" thickBot="1" x14ac:dyDescent="0.25">
      <c r="B266" s="178"/>
      <c r="C266" s="185"/>
      <c r="D266" s="23" t="s">
        <v>12</v>
      </c>
      <c r="E266" s="136" t="s">
        <v>84</v>
      </c>
      <c r="F266" s="21"/>
      <c r="G266" s="21"/>
      <c r="H266" s="21"/>
      <c r="I266" s="21"/>
      <c r="J266" s="22"/>
    </row>
    <row r="267" spans="2:25" x14ac:dyDescent="0.15">
      <c r="B267" s="20"/>
      <c r="C267" s="21"/>
      <c r="D267" s="23" t="s">
        <v>87</v>
      </c>
      <c r="E267" s="21" t="s">
        <v>92</v>
      </c>
      <c r="F267" s="21"/>
      <c r="G267" s="21"/>
      <c r="H267" s="21"/>
      <c r="I267" s="21"/>
      <c r="J267" s="22"/>
    </row>
    <row r="268" spans="2:25" ht="14" thickBot="1" x14ac:dyDescent="0.2">
      <c r="B268" s="20"/>
      <c r="C268" s="34"/>
      <c r="D268" s="34"/>
      <c r="E268" s="34"/>
      <c r="F268" s="34"/>
      <c r="G268" s="34"/>
      <c r="H268" s="34"/>
      <c r="I268" s="34"/>
      <c r="J268" s="35"/>
    </row>
    <row r="269" spans="2:25" ht="14" thickTop="1" x14ac:dyDescent="0.15">
      <c r="B269" s="186"/>
    </row>
  </sheetData>
  <mergeCells count="2">
    <mergeCell ref="B2:I2"/>
    <mergeCell ref="D263:I263"/>
  </mergeCells>
  <phoneticPr fontId="10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R16" sqref="R16"/>
    </sheetView>
  </sheetViews>
  <sheetFormatPr baseColWidth="10" defaultRowHeight="13" x14ac:dyDescent="0.15"/>
  <cols>
    <col min="1" max="16384" width="10.83203125" style="462"/>
  </cols>
  <sheetData>
    <row r="1" spans="1:6" x14ac:dyDescent="0.15">
      <c r="A1" s="462" t="s">
        <v>327</v>
      </c>
    </row>
    <row r="2" spans="1:6" x14ac:dyDescent="0.15">
      <c r="B2" s="530" t="s">
        <v>329</v>
      </c>
      <c r="C2" s="530"/>
      <c r="E2" s="530" t="s">
        <v>328</v>
      </c>
      <c r="F2" s="530"/>
    </row>
    <row r="3" spans="1:6" x14ac:dyDescent="0.15">
      <c r="B3" s="492" t="s">
        <v>205</v>
      </c>
      <c r="C3" s="492" t="s">
        <v>309</v>
      </c>
      <c r="E3" s="492" t="s">
        <v>205</v>
      </c>
      <c r="F3" s="492" t="s">
        <v>309</v>
      </c>
    </row>
    <row r="4" spans="1:6" x14ac:dyDescent="0.15">
      <c r="A4" s="491">
        <v>42740</v>
      </c>
      <c r="B4" s="388">
        <v>4.1225486745155582E-3</v>
      </c>
      <c r="C4" s="394">
        <v>8.7762197344902759E-3</v>
      </c>
      <c r="E4" s="493">
        <f>B4</f>
        <v>4.1225486745155582E-3</v>
      </c>
      <c r="F4" s="493">
        <f>C4</f>
        <v>8.7762197344902759E-3</v>
      </c>
    </row>
    <row r="5" spans="1:6" x14ac:dyDescent="0.15">
      <c r="A5" s="491">
        <v>42747</v>
      </c>
      <c r="B5" s="388">
        <v>6.6146838150045184E-3</v>
      </c>
      <c r="C5" s="394">
        <v>6.3464081092989844E-4</v>
      </c>
      <c r="E5" s="493">
        <f>E4+B5</f>
        <v>1.0737232489520077E-2</v>
      </c>
      <c r="F5" s="493">
        <f>F4+C5</f>
        <v>9.4108605454201744E-3</v>
      </c>
    </row>
    <row r="6" spans="1:6" x14ac:dyDescent="0.15">
      <c r="A6" s="491">
        <v>42754</v>
      </c>
      <c r="B6" s="388">
        <v>-1.5627183891041563E-3</v>
      </c>
      <c r="C6" s="394">
        <v>-2.9729920191681192E-3</v>
      </c>
      <c r="E6" s="493">
        <f t="shared" ref="E6:E21" si="0">E5+B6</f>
        <v>9.1745141004159203E-3</v>
      </c>
      <c r="F6" s="493">
        <f t="shared" ref="F6:F21" si="1">F5+C6</f>
        <v>6.4378685262520552E-3</v>
      </c>
    </row>
    <row r="7" spans="1:6" x14ac:dyDescent="0.15">
      <c r="A7" s="491">
        <v>42761</v>
      </c>
      <c r="B7" s="388">
        <v>1.8780569978932959E-2</v>
      </c>
      <c r="C7" s="394">
        <v>1.4573550265274848E-2</v>
      </c>
      <c r="E7" s="493">
        <f t="shared" si="0"/>
        <v>2.795508407934888E-2</v>
      </c>
      <c r="F7" s="493">
        <f t="shared" si="1"/>
        <v>2.1011418791526904E-2</v>
      </c>
    </row>
    <row r="8" spans="1:6" x14ac:dyDescent="0.15">
      <c r="A8" s="491">
        <v>42768</v>
      </c>
      <c r="B8" s="388">
        <v>-9.6360138423846609E-3</v>
      </c>
      <c r="C8" s="394">
        <v>-6.8925579532194137E-3</v>
      </c>
      <c r="E8" s="493">
        <f t="shared" si="0"/>
        <v>1.8319070236964219E-2</v>
      </c>
      <c r="F8" s="493">
        <f t="shared" si="1"/>
        <v>1.411886083830749E-2</v>
      </c>
    </row>
    <row r="9" spans="1:6" x14ac:dyDescent="0.15">
      <c r="A9" s="491">
        <v>42775</v>
      </c>
      <c r="B9" s="388">
        <v>4.0890179018662209E-3</v>
      </c>
      <c r="C9" s="394">
        <v>1.1846460749282084E-2</v>
      </c>
      <c r="E9" s="493">
        <f t="shared" si="0"/>
        <v>2.240808813883044E-2</v>
      </c>
      <c r="F9" s="493">
        <f t="shared" si="1"/>
        <v>2.5965321587589574E-2</v>
      </c>
    </row>
    <row r="10" spans="1:6" x14ac:dyDescent="0.15">
      <c r="A10" s="491">
        <v>42782</v>
      </c>
      <c r="B10" s="388">
        <v>1.5920844442778526E-2</v>
      </c>
      <c r="C10" s="394">
        <v>1.7050353789424877E-2</v>
      </c>
      <c r="E10" s="493">
        <f t="shared" si="0"/>
        <v>3.8328932581608965E-2</v>
      </c>
      <c r="F10" s="493">
        <f t="shared" si="1"/>
        <v>4.3015675377014451E-2</v>
      </c>
    </row>
    <row r="11" spans="1:6" x14ac:dyDescent="0.15">
      <c r="A11" s="491">
        <v>42789</v>
      </c>
      <c r="B11" s="388">
        <v>7.5384376232359163E-3</v>
      </c>
      <c r="C11" s="394">
        <v>7.0679356856195863E-3</v>
      </c>
      <c r="E11" s="493">
        <f t="shared" si="0"/>
        <v>4.5867370204844882E-2</v>
      </c>
      <c r="F11" s="493">
        <f t="shared" si="1"/>
        <v>5.0083611062634037E-2</v>
      </c>
    </row>
    <row r="12" spans="1:6" x14ac:dyDescent="0.15">
      <c r="A12" s="491">
        <v>42796</v>
      </c>
      <c r="B12" s="388">
        <v>7.5832758912643961E-3</v>
      </c>
      <c r="C12" s="394">
        <v>7.6613602616115717E-3</v>
      </c>
      <c r="E12" s="493">
        <f t="shared" si="0"/>
        <v>5.3450646096109278E-2</v>
      </c>
      <c r="F12" s="493">
        <f t="shared" si="1"/>
        <v>5.7744971324245609E-2</v>
      </c>
    </row>
    <row r="13" spans="1:6" x14ac:dyDescent="0.15">
      <c r="A13" s="491">
        <v>42803</v>
      </c>
      <c r="B13" s="388">
        <v>-8.5977473409590832E-3</v>
      </c>
      <c r="C13" s="394">
        <v>-7.1580909518372815E-3</v>
      </c>
      <c r="E13" s="493">
        <f t="shared" si="0"/>
        <v>4.4852898755150195E-2</v>
      </c>
      <c r="F13" s="493">
        <f t="shared" si="1"/>
        <v>5.0586880372408327E-2</v>
      </c>
    </row>
    <row r="14" spans="1:6" x14ac:dyDescent="0.15">
      <c r="A14" s="491">
        <v>42810</v>
      </c>
      <c r="B14" s="388">
        <v>6.7632781017330501E-3</v>
      </c>
      <c r="C14" s="394">
        <v>6.9813562690550501E-3</v>
      </c>
      <c r="E14" s="493">
        <f t="shared" si="0"/>
        <v>5.1616176856883245E-2</v>
      </c>
      <c r="F14" s="493">
        <f t="shared" si="1"/>
        <v>5.7568236641463377E-2</v>
      </c>
    </row>
    <row r="15" spans="1:6" x14ac:dyDescent="0.15">
      <c r="A15" s="491">
        <v>42817</v>
      </c>
      <c r="B15" s="388">
        <v>-9.2836848971287189E-3</v>
      </c>
      <c r="C15" s="394">
        <v>-1.4873728678329368E-2</v>
      </c>
      <c r="E15" s="493">
        <f t="shared" si="0"/>
        <v>4.2332491959754526E-2</v>
      </c>
      <c r="F15" s="493">
        <f t="shared" si="1"/>
        <v>4.269450796313401E-2</v>
      </c>
    </row>
    <row r="16" spans="1:6" x14ac:dyDescent="0.15">
      <c r="A16" s="491">
        <v>42824</v>
      </c>
      <c r="B16" s="388">
        <v>6.9458626167404613E-3</v>
      </c>
      <c r="C16" s="394">
        <v>9.4204504765640351E-3</v>
      </c>
      <c r="E16" s="493">
        <f t="shared" si="0"/>
        <v>4.9278354576494987E-2</v>
      </c>
      <c r="F16" s="493">
        <f t="shared" si="1"/>
        <v>5.2114958439698045E-2</v>
      </c>
    </row>
    <row r="17" spans="1:6" x14ac:dyDescent="0.15">
      <c r="A17" s="491">
        <v>42831</v>
      </c>
      <c r="B17" s="388">
        <v>-3.395164144081475E-3</v>
      </c>
      <c r="C17" s="394">
        <v>-4.4635693352365058E-3</v>
      </c>
      <c r="E17" s="493">
        <f t="shared" si="0"/>
        <v>4.5883190432413512E-2</v>
      </c>
      <c r="F17" s="493">
        <f t="shared" si="1"/>
        <v>4.7651389104461539E-2</v>
      </c>
    </row>
    <row r="18" spans="1:6" x14ac:dyDescent="0.15">
      <c r="A18" s="491">
        <v>42838</v>
      </c>
      <c r="B18" s="388">
        <v>-1.1151896064878875E-2</v>
      </c>
      <c r="C18" s="394">
        <v>-1.2106095890120461E-2</v>
      </c>
      <c r="E18" s="493">
        <f t="shared" si="0"/>
        <v>3.4731294367534638E-2</v>
      </c>
      <c r="F18" s="493">
        <f t="shared" si="1"/>
        <v>3.5545293214341078E-2</v>
      </c>
    </row>
    <row r="19" spans="1:6" x14ac:dyDescent="0.15">
      <c r="A19" s="491">
        <v>42845</v>
      </c>
      <c r="B19" s="388">
        <v>1.5127126238687394E-2</v>
      </c>
      <c r="C19" s="394">
        <v>1.1545975654264851E-2</v>
      </c>
      <c r="E19" s="493">
        <f t="shared" si="0"/>
        <v>4.9858420606222031E-2</v>
      </c>
      <c r="F19" s="493">
        <f t="shared" si="1"/>
        <v>4.7091268868605929E-2</v>
      </c>
    </row>
    <row r="20" spans="1:6" x14ac:dyDescent="0.15">
      <c r="A20" s="491">
        <v>42852</v>
      </c>
      <c r="B20" s="388">
        <v>2.3280756414368442E-2</v>
      </c>
      <c r="C20" s="394">
        <v>1.3978029068187903E-2</v>
      </c>
      <c r="E20" s="493">
        <f t="shared" si="0"/>
        <v>7.3139177020590473E-2</v>
      </c>
      <c r="F20" s="493">
        <f t="shared" si="1"/>
        <v>6.1069297936793832E-2</v>
      </c>
    </row>
    <row r="21" spans="1:6" x14ac:dyDescent="0.15">
      <c r="A21" s="491">
        <v>42859</v>
      </c>
      <c r="B21" s="388">
        <v>2.990919389315394E-3</v>
      </c>
      <c r="C21" s="394">
        <v>3.1396911381165182E-4</v>
      </c>
      <c r="E21" s="493">
        <f t="shared" si="0"/>
        <v>7.6130096409905867E-2</v>
      </c>
      <c r="F21" s="493">
        <f t="shared" si="1"/>
        <v>6.1383267050605483E-2</v>
      </c>
    </row>
  </sheetData>
  <mergeCells count="2">
    <mergeCell ref="B2:C2"/>
    <mergeCell ref="E2:F2"/>
  </mergeCells>
  <conditionalFormatting sqref="B4:C21">
    <cfRule type="cellIs" dxfId="9" priority="1" operator="lessThan">
      <formula>0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3"/>
    <pageSetUpPr fitToPage="1"/>
  </sheetPr>
  <dimension ref="A1:AZ64"/>
  <sheetViews>
    <sheetView zoomScale="95" zoomScaleNormal="95" zoomScalePageLayoutView="95" workbookViewId="0">
      <pane xSplit="3" topLeftCell="D1" activePane="topRight" state="frozen"/>
      <selection pane="topRight" activeCell="J27" sqref="J27"/>
    </sheetView>
  </sheetViews>
  <sheetFormatPr baseColWidth="10" defaultColWidth="9.1640625" defaultRowHeight="13" x14ac:dyDescent="0.15"/>
  <cols>
    <col min="1" max="1" width="1" style="46" customWidth="1"/>
    <col min="2" max="2" width="22.83203125" style="46" hidden="1" customWidth="1"/>
    <col min="3" max="3" width="40.83203125" style="46" bestFit="1" customWidth="1"/>
    <col min="4" max="4" width="1" style="46" customWidth="1"/>
    <col min="5" max="5" width="8.5" style="65" bestFit="1" customWidth="1"/>
    <col min="6" max="6" width="7.5" style="65" bestFit="1" customWidth="1"/>
    <col min="7" max="7" width="8.5" style="65" bestFit="1" customWidth="1"/>
    <col min="8" max="8" width="13.83203125" style="65" bestFit="1" customWidth="1"/>
    <col min="9" max="9" width="13.83203125" style="46" customWidth="1"/>
    <col min="10" max="10" width="15.5" style="46" customWidth="1"/>
    <col min="11" max="11" width="18.33203125" style="46" customWidth="1"/>
    <col min="12" max="12" width="1" style="46" customWidth="1"/>
    <col min="13" max="13" width="13.83203125" style="46" bestFit="1" customWidth="1"/>
    <col min="14" max="14" width="13.5" style="46" bestFit="1" customWidth="1"/>
    <col min="15" max="15" width="9.83203125" style="46" customWidth="1"/>
    <col min="16" max="16" width="10.6640625" style="46" bestFit="1" customWidth="1"/>
    <col min="17" max="17" width="9.83203125" style="46" customWidth="1"/>
    <col min="18" max="18" width="1.5" style="46" customWidth="1"/>
    <col min="19" max="19" width="21.6640625" style="46" bestFit="1" customWidth="1"/>
    <col min="20" max="20" width="1" style="46" customWidth="1"/>
    <col min="21" max="21" width="16.6640625" style="46" customWidth="1"/>
    <col min="22" max="22" width="1" style="46" customWidth="1"/>
    <col min="23" max="23" width="13.5" style="46" customWidth="1"/>
    <col min="24" max="24" width="10.6640625" style="46" bestFit="1" customWidth="1"/>
    <col min="25" max="25" width="1" style="46" customWidth="1"/>
    <col min="26" max="26" width="10.33203125" style="46" customWidth="1"/>
    <col min="27" max="27" width="10.6640625" style="46" bestFit="1" customWidth="1"/>
    <col min="28" max="28" width="18.5" style="46" customWidth="1"/>
    <col min="29" max="29" width="9.5" style="46" customWidth="1"/>
    <col min="30" max="31" width="9.5" style="65" customWidth="1"/>
    <col min="32" max="32" width="9" style="65" customWidth="1"/>
    <col min="33" max="33" width="7.6640625" style="65" customWidth="1"/>
    <col min="34" max="16384" width="9.1640625" style="46"/>
  </cols>
  <sheetData>
    <row r="1" spans="1:34" ht="3.75" customHeight="1" x14ac:dyDescent="0.15">
      <c r="A1" s="43"/>
      <c r="B1" s="43"/>
      <c r="C1" s="43"/>
      <c r="D1" s="43"/>
      <c r="E1" s="44"/>
      <c r="F1" s="44"/>
      <c r="G1" s="44"/>
      <c r="H1" s="4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5"/>
      <c r="V1" s="43"/>
      <c r="W1" s="43"/>
      <c r="X1" s="43"/>
      <c r="Y1" s="43"/>
      <c r="Z1" s="43"/>
      <c r="AA1" s="43"/>
      <c r="AB1" s="43"/>
      <c r="AC1" s="43"/>
      <c r="AD1" s="44"/>
      <c r="AE1" s="44"/>
      <c r="AF1" s="44"/>
      <c r="AG1" s="44"/>
      <c r="AH1" s="43"/>
    </row>
    <row r="2" spans="1:34" ht="7.5" customHeight="1" thickBot="1" x14ac:dyDescent="0.2">
      <c r="A2" s="43"/>
      <c r="B2" s="43"/>
      <c r="C2" s="43"/>
      <c r="D2" s="214"/>
      <c r="E2" s="44"/>
      <c r="F2" s="44"/>
      <c r="G2" s="44"/>
      <c r="H2" s="44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5"/>
      <c r="V2" s="43"/>
      <c r="W2" s="43"/>
      <c r="X2" s="43"/>
      <c r="Y2" s="43"/>
      <c r="Z2" s="43"/>
      <c r="AA2" s="43"/>
      <c r="AB2" s="43"/>
      <c r="AC2" s="43"/>
      <c r="AD2" s="44"/>
      <c r="AE2" s="44"/>
      <c r="AF2" s="44"/>
      <c r="AG2" s="44"/>
      <c r="AH2" s="43"/>
    </row>
    <row r="3" spans="1:34" ht="14" x14ac:dyDescent="0.15">
      <c r="A3" s="1"/>
      <c r="B3" s="94" t="s">
        <v>109</v>
      </c>
      <c r="C3" s="219" t="s">
        <v>153</v>
      </c>
      <c r="D3" s="217"/>
      <c r="E3" s="94" t="s">
        <v>110</v>
      </c>
      <c r="F3" s="95" t="s">
        <v>58</v>
      </c>
      <c r="G3" s="95" t="s">
        <v>57</v>
      </c>
      <c r="H3" s="95" t="s">
        <v>59</v>
      </c>
      <c r="I3" s="95" t="s">
        <v>111</v>
      </c>
      <c r="J3" s="95" t="s">
        <v>156</v>
      </c>
      <c r="K3" s="95" t="s">
        <v>157</v>
      </c>
      <c r="L3" s="223"/>
      <c r="M3" s="95" t="s">
        <v>152</v>
      </c>
      <c r="N3" s="95" t="s">
        <v>151</v>
      </c>
      <c r="O3" s="95" t="s">
        <v>158</v>
      </c>
      <c r="P3" s="95" t="s">
        <v>159</v>
      </c>
      <c r="Q3" s="208" t="s">
        <v>160</v>
      </c>
      <c r="R3" s="47"/>
      <c r="S3" s="105" t="s">
        <v>131</v>
      </c>
      <c r="T3" s="47"/>
      <c r="U3" s="97" t="s">
        <v>130</v>
      </c>
      <c r="V3" s="1"/>
      <c r="W3" s="533" t="s">
        <v>36</v>
      </c>
      <c r="X3" s="534"/>
      <c r="Y3" s="1"/>
      <c r="Z3" s="103" t="s">
        <v>64</v>
      </c>
      <c r="AA3" s="104" t="s">
        <v>63</v>
      </c>
      <c r="AB3" s="49"/>
      <c r="AC3" s="49" t="s">
        <v>194</v>
      </c>
      <c r="AD3" s="49"/>
      <c r="AE3" s="49"/>
      <c r="AF3" s="50"/>
      <c r="AG3" s="49"/>
      <c r="AH3" s="43"/>
    </row>
    <row r="4" spans="1:34" x14ac:dyDescent="0.15">
      <c r="A4" s="1"/>
      <c r="B4" s="96" t="s">
        <v>47</v>
      </c>
      <c r="C4" s="220" t="s">
        <v>47</v>
      </c>
      <c r="D4" s="215"/>
      <c r="E4" s="218">
        <v>1</v>
      </c>
      <c r="F4" s="199">
        <f>E4</f>
        <v>1</v>
      </c>
      <c r="G4" s="204">
        <v>2029.73</v>
      </c>
      <c r="H4" s="198">
        <f>E4*G4</f>
        <v>2029.73</v>
      </c>
      <c r="I4" s="200">
        <f>F4*G4</f>
        <v>2029.73</v>
      </c>
      <c r="J4" s="200">
        <v>4804</v>
      </c>
      <c r="K4" s="200">
        <v>2029.73</v>
      </c>
      <c r="L4" s="224"/>
      <c r="M4" s="225"/>
      <c r="N4" s="201"/>
      <c r="O4" s="200"/>
      <c r="P4" s="200"/>
      <c r="Q4" s="231"/>
      <c r="R4" s="51"/>
      <c r="S4" s="130" t="s">
        <v>47</v>
      </c>
      <c r="T4" s="51"/>
      <c r="U4" s="98" t="e">
        <f t="shared" ref="U4:U17" si="0">H4/$H$27</f>
        <v>#REF!</v>
      </c>
      <c r="V4" s="53"/>
      <c r="W4" s="153" t="s">
        <v>126</v>
      </c>
      <c r="X4" s="100" t="s">
        <v>47</v>
      </c>
      <c r="Y4" s="53"/>
      <c r="Z4" s="99"/>
      <c r="AA4" s="100"/>
      <c r="AB4" s="55"/>
      <c r="AC4" s="258" t="e">
        <f>(0.01/365)*U4</f>
        <v>#REF!</v>
      </c>
      <c r="AD4" s="55"/>
      <c r="AE4" s="55"/>
      <c r="AF4" s="56"/>
      <c r="AG4" s="168"/>
      <c r="AH4" s="43"/>
    </row>
    <row r="5" spans="1:34" x14ac:dyDescent="0.15">
      <c r="A5" s="1"/>
      <c r="B5" s="96" t="s">
        <v>45</v>
      </c>
      <c r="C5" s="221" t="e">
        <f>#REF!</f>
        <v>#REF!</v>
      </c>
      <c r="D5" s="216"/>
      <c r="E5" s="218" t="e">
        <f>#REF!</f>
        <v>#REF!</v>
      </c>
      <c r="F5" s="199">
        <v>77.89</v>
      </c>
      <c r="G5" s="196">
        <v>26</v>
      </c>
      <c r="H5" s="198" t="e">
        <f t="shared" ref="H5:H25" si="1">E5*G5</f>
        <v>#REF!</v>
      </c>
      <c r="I5" s="200">
        <f t="shared" ref="I5:I7" si="2">F5*ROUNDDOWN(G5,0)+9.95</f>
        <v>2035.0900000000001</v>
      </c>
      <c r="J5" s="198">
        <v>2248.2200317382799</v>
      </c>
      <c r="K5" s="198">
        <v>2287.2199999999998</v>
      </c>
      <c r="L5" s="226"/>
      <c r="M5" s="227" t="e">
        <f t="shared" ref="M5:M25" si="3">H5-I5</f>
        <v>#REF!</v>
      </c>
      <c r="N5" s="93" t="e">
        <f t="shared" ref="N5:N6" si="4">(H5/I5)-1</f>
        <v>#REF!</v>
      </c>
      <c r="O5" s="93" t="e">
        <f t="shared" ref="O5:O6" si="5">(H5/J5)-1</f>
        <v>#REF!</v>
      </c>
      <c r="P5" s="93" t="e">
        <f t="shared" ref="P5:P6" si="6">(H5/K5)-1</f>
        <v>#REF!</v>
      </c>
      <c r="Q5" s="232" t="e">
        <f>(#REF!/#REF!)-1</f>
        <v>#REF!</v>
      </c>
      <c r="R5" s="57"/>
      <c r="S5" s="131" t="s">
        <v>2</v>
      </c>
      <c r="T5" s="57"/>
      <c r="U5" s="98" t="e">
        <f t="shared" si="0"/>
        <v>#REF!</v>
      </c>
      <c r="V5" s="53"/>
      <c r="W5" s="102" t="e">
        <f>#REF!/1000000000</f>
        <v>#REF!</v>
      </c>
      <c r="X5" s="134" t="e">
        <f>IF(W5&lt;2,"Small", IF(W5&lt;10, "Mid", IF(W5&gt;10, "Large")))</f>
        <v>#REF!</v>
      </c>
      <c r="Y5" s="53"/>
      <c r="Z5" s="102" t="e">
        <f>#REF!</f>
        <v>#REF!</v>
      </c>
      <c r="AA5" s="101" t="e">
        <f>#REF!</f>
        <v>#REF!</v>
      </c>
      <c r="AB5" s="55"/>
      <c r="AC5" s="258" t="e">
        <f>Q5*U5</f>
        <v>#REF!</v>
      </c>
      <c r="AD5" s="55"/>
      <c r="AE5" s="55"/>
      <c r="AF5" s="56"/>
      <c r="AG5" s="168"/>
      <c r="AH5" s="43"/>
    </row>
    <row r="6" spans="1:34" x14ac:dyDescent="0.15">
      <c r="A6" s="1"/>
      <c r="B6" s="96"/>
      <c r="C6" s="221" t="e">
        <f>#REF!</f>
        <v>#REF!</v>
      </c>
      <c r="D6" s="216"/>
      <c r="E6" s="218" t="e">
        <f>#REF!</f>
        <v>#REF!</v>
      </c>
      <c r="F6" s="199">
        <v>17.23</v>
      </c>
      <c r="G6" s="196">
        <v>89.052000000000007</v>
      </c>
      <c r="H6" s="198" t="e">
        <f t="shared" si="1"/>
        <v>#REF!</v>
      </c>
      <c r="I6" s="200">
        <f t="shared" si="2"/>
        <v>1543.42</v>
      </c>
      <c r="J6" s="198">
        <v>1602.045459617618</v>
      </c>
      <c r="K6" s="198">
        <v>1610.9506800000001</v>
      </c>
      <c r="L6" s="228"/>
      <c r="M6" s="227" t="e">
        <f t="shared" si="3"/>
        <v>#REF!</v>
      </c>
      <c r="N6" s="93" t="e">
        <f t="shared" si="4"/>
        <v>#REF!</v>
      </c>
      <c r="O6" s="93" t="e">
        <f t="shared" si="5"/>
        <v>#REF!</v>
      </c>
      <c r="P6" s="93" t="e">
        <f t="shared" si="6"/>
        <v>#REF!</v>
      </c>
      <c r="Q6" s="232" t="e">
        <f>(#REF!/#REF!)-1</f>
        <v>#REF!</v>
      </c>
      <c r="R6" s="57"/>
      <c r="S6" s="131" t="s">
        <v>146</v>
      </c>
      <c r="T6" s="57"/>
      <c r="U6" s="98" t="e">
        <f t="shared" si="0"/>
        <v>#REF!</v>
      </c>
      <c r="V6" s="53"/>
      <c r="W6" s="102">
        <v>0</v>
      </c>
      <c r="X6" s="253" t="s">
        <v>126</v>
      </c>
      <c r="Y6" s="53"/>
      <c r="Z6" s="102">
        <v>0</v>
      </c>
      <c r="AA6" s="101">
        <v>0</v>
      </c>
      <c r="AB6" s="55"/>
      <c r="AC6" s="258" t="e">
        <f t="shared" ref="AC6:AC25" si="7">Q6*U6</f>
        <v>#REF!</v>
      </c>
      <c r="AD6" s="55"/>
      <c r="AE6" s="55"/>
      <c r="AF6" s="56"/>
      <c r="AG6" s="190"/>
      <c r="AH6" s="43"/>
    </row>
    <row r="7" spans="1:34" x14ac:dyDescent="0.15">
      <c r="A7" s="1"/>
      <c r="B7" s="96" t="s">
        <v>34</v>
      </c>
      <c r="C7" s="221" t="e">
        <f>#REF!</f>
        <v>#REF!</v>
      </c>
      <c r="D7" s="216"/>
      <c r="E7" s="218" t="e">
        <f>#REF!</f>
        <v>#REF!</v>
      </c>
      <c r="F7" s="199">
        <v>83</v>
      </c>
      <c r="G7" s="196">
        <v>15</v>
      </c>
      <c r="H7" s="198" t="e">
        <f t="shared" si="1"/>
        <v>#REF!</v>
      </c>
      <c r="I7" s="200">
        <f t="shared" si="2"/>
        <v>1254.95</v>
      </c>
      <c r="J7" s="198">
        <v>1245</v>
      </c>
      <c r="K7" s="198">
        <v>1293.75</v>
      </c>
      <c r="L7" s="228"/>
      <c r="M7" s="227" t="e">
        <f t="shared" si="3"/>
        <v>#REF!</v>
      </c>
      <c r="N7" s="93" t="e">
        <f t="shared" ref="N7:N25" si="8">(H7/I7)-1</f>
        <v>#REF!</v>
      </c>
      <c r="O7" s="93" t="e">
        <f t="shared" ref="O7:O25" si="9">(H7/J7)-1</f>
        <v>#REF!</v>
      </c>
      <c r="P7" s="93" t="e">
        <f t="shared" ref="P7:P25" si="10">(H7/K7)-1</f>
        <v>#REF!</v>
      </c>
      <c r="Q7" s="232" t="e">
        <f>(#REF!/#REF!)-1</f>
        <v>#REF!</v>
      </c>
      <c r="R7" s="57"/>
      <c r="S7" s="131" t="s">
        <v>15</v>
      </c>
      <c r="T7" s="57"/>
      <c r="U7" s="98" t="e">
        <f t="shared" si="0"/>
        <v>#REF!</v>
      </c>
      <c r="V7" s="53"/>
      <c r="W7" s="102" t="e">
        <f>#REF!/1000000000</f>
        <v>#REF!</v>
      </c>
      <c r="X7" s="145" t="e">
        <f>IF(W7&lt;2,"Small", IF(W7&lt;10, "Mid", IF(W7&gt;10, "Large")))</f>
        <v>#REF!</v>
      </c>
      <c r="Y7" s="53"/>
      <c r="Z7" s="102" t="e">
        <f>#REF!</f>
        <v>#REF!</v>
      </c>
      <c r="AA7" s="101" t="e">
        <f>#REF!</f>
        <v>#REF!</v>
      </c>
      <c r="AC7" s="258" t="e">
        <f t="shared" si="7"/>
        <v>#REF!</v>
      </c>
      <c r="AD7" s="55"/>
      <c r="AE7" s="55"/>
      <c r="AF7" s="56"/>
      <c r="AG7" s="168"/>
      <c r="AH7" s="43"/>
    </row>
    <row r="8" spans="1:34" x14ac:dyDescent="0.15">
      <c r="A8" s="1"/>
      <c r="B8" s="96" t="s">
        <v>106</v>
      </c>
      <c r="C8" s="221" t="e">
        <f>#REF!</f>
        <v>#REF!</v>
      </c>
      <c r="D8" s="216"/>
      <c r="E8" s="218" t="e">
        <f>#REF!</f>
        <v>#REF!</v>
      </c>
      <c r="F8" s="199">
        <v>18.48</v>
      </c>
      <c r="G8" s="196">
        <v>67.037999999999997</v>
      </c>
      <c r="H8" s="198" t="e">
        <f t="shared" si="1"/>
        <v>#REF!</v>
      </c>
      <c r="I8" s="200">
        <f t="shared" ref="I8:I20" si="11">F8*ROUNDDOWN(G8,0)+9.95</f>
        <v>1248.1100000000001</v>
      </c>
      <c r="J8" s="198">
        <v>1311.6533503665908</v>
      </c>
      <c r="K8" s="198">
        <v>1274.39238</v>
      </c>
      <c r="L8" s="228"/>
      <c r="M8" s="227" t="e">
        <f t="shared" si="3"/>
        <v>#REF!</v>
      </c>
      <c r="N8" s="93" t="e">
        <f t="shared" si="8"/>
        <v>#REF!</v>
      </c>
      <c r="O8" s="93" t="e">
        <f t="shared" si="9"/>
        <v>#REF!</v>
      </c>
      <c r="P8" s="93" t="e">
        <f t="shared" si="10"/>
        <v>#REF!</v>
      </c>
      <c r="Q8" s="232" t="e">
        <f>(#REF!/#REF!)-1</f>
        <v>#REF!</v>
      </c>
      <c r="R8" s="58"/>
      <c r="S8" s="131" t="s">
        <v>91</v>
      </c>
      <c r="T8" s="58"/>
      <c r="U8" s="98" t="e">
        <f t="shared" si="0"/>
        <v>#REF!</v>
      </c>
      <c r="V8" s="53"/>
      <c r="W8" s="102" t="e">
        <f>#REF!/1000000000</f>
        <v>#REF!</v>
      </c>
      <c r="X8" s="145" t="e">
        <f t="shared" ref="X8:X15" si="12">IF(W8&lt;2,"Small", IF(W8&lt;10, "Mid", IF(W8&gt;10, "Large")))</f>
        <v>#REF!</v>
      </c>
      <c r="Y8" s="53"/>
      <c r="Z8" s="102" t="e">
        <f>#REF!</f>
        <v>#REF!</v>
      </c>
      <c r="AA8" s="101" t="e">
        <f>#REF!</f>
        <v>#REF!</v>
      </c>
      <c r="AC8" s="258" t="e">
        <f t="shared" si="7"/>
        <v>#REF!</v>
      </c>
      <c r="AD8" s="55"/>
      <c r="AE8" s="55"/>
      <c r="AF8" s="56"/>
      <c r="AG8" s="168"/>
      <c r="AH8" s="43"/>
    </row>
    <row r="9" spans="1:34" x14ac:dyDescent="0.15">
      <c r="A9" s="1"/>
      <c r="B9" s="96" t="s">
        <v>101</v>
      </c>
      <c r="C9" s="221" t="e">
        <f>#REF!</f>
        <v>#REF!</v>
      </c>
      <c r="D9" s="216"/>
      <c r="E9" s="218" t="e">
        <f>#REF!</f>
        <v>#REF!</v>
      </c>
      <c r="F9" s="199">
        <v>12.47</v>
      </c>
      <c r="G9" s="196">
        <v>65.665000000000006</v>
      </c>
      <c r="H9" s="198" t="e">
        <f t="shared" si="1"/>
        <v>#REF!</v>
      </c>
      <c r="I9" s="200">
        <f t="shared" si="11"/>
        <v>820.50000000000011</v>
      </c>
      <c r="J9" s="198">
        <v>647.68745750808728</v>
      </c>
      <c r="K9" s="198">
        <v>757.11745000000008</v>
      </c>
      <c r="L9" s="203"/>
      <c r="M9" s="227" t="e">
        <f t="shared" si="3"/>
        <v>#REF!</v>
      </c>
      <c r="N9" s="93" t="e">
        <f t="shared" si="8"/>
        <v>#REF!</v>
      </c>
      <c r="O9" s="93" t="e">
        <f t="shared" si="9"/>
        <v>#REF!</v>
      </c>
      <c r="P9" s="93" t="e">
        <f t="shared" si="10"/>
        <v>#REF!</v>
      </c>
      <c r="Q9" s="232" t="e">
        <f>(#REF!/#REF!)-1</f>
        <v>#REF!</v>
      </c>
      <c r="R9" s="58"/>
      <c r="S9" s="131" t="s">
        <v>89</v>
      </c>
      <c r="T9" s="58"/>
      <c r="U9" s="98" t="e">
        <f t="shared" si="0"/>
        <v>#REF!</v>
      </c>
      <c r="V9" s="53"/>
      <c r="W9" s="102" t="e">
        <f>#REF!/1000000000</f>
        <v>#REF!</v>
      </c>
      <c r="X9" s="145" t="e">
        <f t="shared" si="12"/>
        <v>#REF!</v>
      </c>
      <c r="Y9" s="53"/>
      <c r="Z9" s="102" t="e">
        <f>#REF!</f>
        <v>#REF!</v>
      </c>
      <c r="AA9" s="101" t="e">
        <f>#REF!</f>
        <v>#REF!</v>
      </c>
      <c r="AC9" s="258" t="e">
        <f t="shared" si="7"/>
        <v>#REF!</v>
      </c>
      <c r="AD9" s="55"/>
      <c r="AE9" s="55"/>
      <c r="AF9" s="56"/>
      <c r="AG9" s="168"/>
      <c r="AH9" s="43"/>
    </row>
    <row r="10" spans="1:34" x14ac:dyDescent="0.15">
      <c r="A10" s="1"/>
      <c r="B10" s="96" t="s">
        <v>49</v>
      </c>
      <c r="C10" s="221" t="e">
        <f>#REF!</f>
        <v>#REF!</v>
      </c>
      <c r="D10" s="216"/>
      <c r="E10" s="218" t="e">
        <f>#REF!</f>
        <v>#REF!</v>
      </c>
      <c r="F10" s="199">
        <v>16.399999999999999</v>
      </c>
      <c r="G10" s="196">
        <v>91.933999999999997</v>
      </c>
      <c r="H10" s="198" t="e">
        <f t="shared" si="1"/>
        <v>#REF!</v>
      </c>
      <c r="I10" s="200">
        <f t="shared" si="11"/>
        <v>1502.35</v>
      </c>
      <c r="J10" s="198">
        <v>1669.6919303893999</v>
      </c>
      <c r="K10" s="198">
        <v>1608.845</v>
      </c>
      <c r="L10" s="203"/>
      <c r="M10" s="227" t="e">
        <f t="shared" si="3"/>
        <v>#REF!</v>
      </c>
      <c r="N10" s="93" t="e">
        <f t="shared" si="8"/>
        <v>#REF!</v>
      </c>
      <c r="O10" s="93" t="e">
        <f t="shared" si="9"/>
        <v>#REF!</v>
      </c>
      <c r="P10" s="93" t="e">
        <f t="shared" si="10"/>
        <v>#REF!</v>
      </c>
      <c r="Q10" s="232" t="e">
        <f>(#REF!/#REF!)-1</f>
        <v>#REF!</v>
      </c>
      <c r="R10" s="58"/>
      <c r="S10" s="131" t="s">
        <v>89</v>
      </c>
      <c r="T10" s="58"/>
      <c r="U10" s="98" t="e">
        <f t="shared" si="0"/>
        <v>#REF!</v>
      </c>
      <c r="V10" s="53"/>
      <c r="W10" s="102" t="e">
        <f>#REF!/1000000000</f>
        <v>#REF!</v>
      </c>
      <c r="X10" s="151" t="e">
        <f t="shared" si="12"/>
        <v>#REF!</v>
      </c>
      <c r="Y10" s="53"/>
      <c r="Z10" s="102" t="e">
        <f>#REF!</f>
        <v>#REF!</v>
      </c>
      <c r="AA10" s="101" t="e">
        <f>#REF!</f>
        <v>#REF!</v>
      </c>
      <c r="AC10" s="258" t="e">
        <f t="shared" si="7"/>
        <v>#REF!</v>
      </c>
      <c r="AD10" s="55"/>
      <c r="AE10" s="55"/>
      <c r="AF10" s="56"/>
      <c r="AG10" s="168"/>
      <c r="AH10" s="43"/>
    </row>
    <row r="11" spans="1:34" x14ac:dyDescent="0.15">
      <c r="A11" s="1"/>
      <c r="B11" s="96" t="s">
        <v>77</v>
      </c>
      <c r="C11" s="221" t="e">
        <f>#REF!</f>
        <v>#REF!</v>
      </c>
      <c r="D11" s="216"/>
      <c r="E11" s="218" t="e">
        <f>#REF!</f>
        <v>#REF!</v>
      </c>
      <c r="F11" s="199">
        <v>29.37</v>
      </c>
      <c r="G11" s="196">
        <v>60.268999999999998</v>
      </c>
      <c r="H11" s="198" t="e">
        <f t="shared" si="1"/>
        <v>#REF!</v>
      </c>
      <c r="I11" s="200">
        <f t="shared" si="11"/>
        <v>1772.15</v>
      </c>
      <c r="J11" s="198">
        <v>2834.4509964294448</v>
      </c>
      <c r="K11" s="198">
        <v>2710.29693</v>
      </c>
      <c r="L11" s="203"/>
      <c r="M11" s="227" t="e">
        <f t="shared" si="3"/>
        <v>#REF!</v>
      </c>
      <c r="N11" s="93" t="e">
        <f t="shared" si="8"/>
        <v>#REF!</v>
      </c>
      <c r="O11" s="93" t="e">
        <f t="shared" si="9"/>
        <v>#REF!</v>
      </c>
      <c r="P11" s="93" t="e">
        <f t="shared" si="10"/>
        <v>#REF!</v>
      </c>
      <c r="Q11" s="232" t="e">
        <f>(#REF!/#REF!)-1</f>
        <v>#REF!</v>
      </c>
      <c r="R11" s="58"/>
      <c r="S11" s="131" t="s">
        <v>2</v>
      </c>
      <c r="T11" s="58"/>
      <c r="U11" s="98" t="e">
        <f t="shared" si="0"/>
        <v>#REF!</v>
      </c>
      <c r="V11" s="53"/>
      <c r="W11" s="102" t="e">
        <f>#REF!/1000000000</f>
        <v>#REF!</v>
      </c>
      <c r="X11" s="145" t="e">
        <f t="shared" si="12"/>
        <v>#REF!</v>
      </c>
      <c r="Y11" s="53"/>
      <c r="Z11" s="102" t="e">
        <f>#REF!</f>
        <v>#REF!</v>
      </c>
      <c r="AA11" s="101" t="e">
        <f>#REF!</f>
        <v>#REF!</v>
      </c>
      <c r="AC11" s="258" t="e">
        <f t="shared" si="7"/>
        <v>#REF!</v>
      </c>
      <c r="AD11" s="55"/>
      <c r="AE11" s="55"/>
      <c r="AF11" s="56"/>
      <c r="AG11" s="168"/>
      <c r="AH11" s="43"/>
    </row>
    <row r="12" spans="1:34" x14ac:dyDescent="0.15">
      <c r="A12" s="1"/>
      <c r="B12" s="96" t="s">
        <v>52</v>
      </c>
      <c r="C12" s="221" t="e">
        <f>#REF!</f>
        <v>#REF!</v>
      </c>
      <c r="D12" s="216"/>
      <c r="E12" s="218" t="e">
        <f>#REF!</f>
        <v>#REF!</v>
      </c>
      <c r="F12" s="199">
        <v>28.6</v>
      </c>
      <c r="G12" s="196">
        <v>58.765000000000001</v>
      </c>
      <c r="H12" s="198" t="e">
        <f t="shared" si="1"/>
        <v>#REF!</v>
      </c>
      <c r="I12" s="200">
        <f t="shared" si="11"/>
        <v>1668.7500000000002</v>
      </c>
      <c r="J12" s="198">
        <v>3371.3144392318723</v>
      </c>
      <c r="K12" s="198">
        <v>3775.0636</v>
      </c>
      <c r="L12" s="203"/>
      <c r="M12" s="227" t="e">
        <f t="shared" si="3"/>
        <v>#REF!</v>
      </c>
      <c r="N12" s="93" t="e">
        <f t="shared" si="8"/>
        <v>#REF!</v>
      </c>
      <c r="O12" s="93" t="e">
        <f t="shared" si="9"/>
        <v>#REF!</v>
      </c>
      <c r="P12" s="93" t="e">
        <f t="shared" si="10"/>
        <v>#REF!</v>
      </c>
      <c r="Q12" s="232" t="e">
        <f>(#REF!/#REF!)-1</f>
        <v>#REF!</v>
      </c>
      <c r="R12" s="58"/>
      <c r="S12" s="131" t="s">
        <v>89</v>
      </c>
      <c r="T12" s="58"/>
      <c r="U12" s="98" t="e">
        <f t="shared" si="0"/>
        <v>#REF!</v>
      </c>
      <c r="V12" s="53"/>
      <c r="W12" s="102" t="e">
        <f>#REF!/1000000000</f>
        <v>#REF!</v>
      </c>
      <c r="X12" s="151" t="e">
        <f t="shared" si="12"/>
        <v>#REF!</v>
      </c>
      <c r="Y12" s="53"/>
      <c r="Z12" s="102" t="e">
        <f>#REF!</f>
        <v>#REF!</v>
      </c>
      <c r="AA12" s="101" t="e">
        <f>#REF!</f>
        <v>#REF!</v>
      </c>
      <c r="AC12" s="258" t="e">
        <f t="shared" si="7"/>
        <v>#REF!</v>
      </c>
      <c r="AD12" s="55"/>
      <c r="AE12" s="55"/>
      <c r="AF12" s="56"/>
      <c r="AG12" s="168"/>
      <c r="AH12" s="43"/>
    </row>
    <row r="13" spans="1:34" s="63" customFormat="1" x14ac:dyDescent="0.15">
      <c r="A13" s="1"/>
      <c r="B13" s="96" t="s">
        <v>54</v>
      </c>
      <c r="C13" s="221" t="e">
        <f>#REF!</f>
        <v>#REF!</v>
      </c>
      <c r="D13" s="216"/>
      <c r="E13" s="218" t="e">
        <f>#REF!</f>
        <v>#REF!</v>
      </c>
      <c r="F13" s="199">
        <v>62.69</v>
      </c>
      <c r="G13" s="196">
        <v>25</v>
      </c>
      <c r="H13" s="198" t="e">
        <f t="shared" si="1"/>
        <v>#REF!</v>
      </c>
      <c r="I13" s="200">
        <f t="shared" si="11"/>
        <v>1577.2</v>
      </c>
      <c r="J13" s="198">
        <v>1078.49998474121</v>
      </c>
      <c r="K13" s="198">
        <v>1082.75</v>
      </c>
      <c r="L13" s="203"/>
      <c r="M13" s="227" t="e">
        <f t="shared" si="3"/>
        <v>#REF!</v>
      </c>
      <c r="N13" s="93" t="e">
        <f t="shared" si="8"/>
        <v>#REF!</v>
      </c>
      <c r="O13" s="93" t="e">
        <f t="shared" si="9"/>
        <v>#REF!</v>
      </c>
      <c r="P13" s="93" t="e">
        <f t="shared" si="10"/>
        <v>#REF!</v>
      </c>
      <c r="Q13" s="232" t="e">
        <f>(#REF!/#REF!)-1</f>
        <v>#REF!</v>
      </c>
      <c r="R13" s="58"/>
      <c r="S13" s="131" t="s">
        <v>91</v>
      </c>
      <c r="T13" s="58"/>
      <c r="U13" s="98" t="e">
        <f t="shared" si="0"/>
        <v>#REF!</v>
      </c>
      <c r="V13" s="53"/>
      <c r="W13" s="102" t="e">
        <f>#REF!/1000000000</f>
        <v>#REF!</v>
      </c>
      <c r="X13" s="151" t="e">
        <f t="shared" si="12"/>
        <v>#REF!</v>
      </c>
      <c r="Y13" s="53"/>
      <c r="Z13" s="102" t="e">
        <f>#REF!</f>
        <v>#REF!</v>
      </c>
      <c r="AA13" s="101" t="e">
        <f>#REF!</f>
        <v>#REF!</v>
      </c>
      <c r="AB13" s="46"/>
      <c r="AC13" s="258" t="e">
        <f t="shared" si="7"/>
        <v>#REF!</v>
      </c>
      <c r="AD13" s="59"/>
      <c r="AE13" s="59"/>
      <c r="AF13" s="60"/>
      <c r="AG13" s="61"/>
      <c r="AH13" s="62"/>
    </row>
    <row r="14" spans="1:34" x14ac:dyDescent="0.15">
      <c r="A14" s="1"/>
      <c r="B14" s="96" t="s">
        <v>32</v>
      </c>
      <c r="C14" s="221" t="e">
        <f>#REF!</f>
        <v>#REF!</v>
      </c>
      <c r="D14" s="216"/>
      <c r="E14" s="218" t="e">
        <f>#REF!</f>
        <v>#REF!</v>
      </c>
      <c r="F14" s="199">
        <v>47.17</v>
      </c>
      <c r="G14" s="196">
        <v>28.038</v>
      </c>
      <c r="H14" s="198" t="e">
        <f>E14*G14</f>
        <v>#REF!</v>
      </c>
      <c r="I14" s="200">
        <f>F14*ROUNDDOWN(G14,0)+9.95</f>
        <v>1330.71</v>
      </c>
      <c r="J14" s="198">
        <v>1158.543591018677</v>
      </c>
      <c r="K14" s="198">
        <v>1994.9584599999998</v>
      </c>
      <c r="L14" s="203"/>
      <c r="M14" s="227" t="e">
        <f t="shared" si="3"/>
        <v>#REF!</v>
      </c>
      <c r="N14" s="93" t="e">
        <f t="shared" si="8"/>
        <v>#REF!</v>
      </c>
      <c r="O14" s="93" t="e">
        <f t="shared" si="9"/>
        <v>#REF!</v>
      </c>
      <c r="P14" s="93" t="e">
        <f t="shared" si="10"/>
        <v>#REF!</v>
      </c>
      <c r="Q14" s="232" t="e">
        <f>(#REF!/#REF!)-1</f>
        <v>#REF!</v>
      </c>
      <c r="R14" s="57"/>
      <c r="S14" s="131" t="s">
        <v>128</v>
      </c>
      <c r="T14" s="57"/>
      <c r="U14" s="98" t="e">
        <f t="shared" si="0"/>
        <v>#REF!</v>
      </c>
      <c r="V14" s="53"/>
      <c r="W14" s="102" t="e">
        <f>#REF!/1000000000</f>
        <v>#REF!</v>
      </c>
      <c r="X14" s="145" t="e">
        <f>IF(W14&lt;2,"Small", IF(W14&lt;10, "Mid", IF(W14&gt;10, "Large")))</f>
        <v>#REF!</v>
      </c>
      <c r="Y14" s="53"/>
      <c r="Z14" s="102" t="e">
        <f>#REF!</f>
        <v>#REF!</v>
      </c>
      <c r="AA14" s="101" t="e">
        <f>#REF!</f>
        <v>#REF!</v>
      </c>
      <c r="AC14" s="258" t="e">
        <f t="shared" si="7"/>
        <v>#REF!</v>
      </c>
      <c r="AD14" s="55"/>
      <c r="AE14" s="55"/>
      <c r="AF14" s="56"/>
      <c r="AG14" s="168"/>
      <c r="AH14" s="43"/>
    </row>
    <row r="15" spans="1:34" x14ac:dyDescent="0.15">
      <c r="A15" s="1"/>
      <c r="B15" s="96" t="s">
        <v>55</v>
      </c>
      <c r="C15" s="221" t="e">
        <f>#REF!</f>
        <v>#REF!</v>
      </c>
      <c r="D15" s="216"/>
      <c r="E15" s="218" t="e">
        <f>#REF!</f>
        <v>#REF!</v>
      </c>
      <c r="F15" s="199">
        <v>19.489999999999998</v>
      </c>
      <c r="G15" s="196">
        <v>75</v>
      </c>
      <c r="H15" s="198" t="e">
        <f>E15*G15</f>
        <v>#REF!</v>
      </c>
      <c r="I15" s="200">
        <f>F15*ROUNDDOWN(G15,0)+9.95</f>
        <v>1471.6999999999998</v>
      </c>
      <c r="J15" s="198">
        <v>1471.6999999999998</v>
      </c>
      <c r="K15" s="198">
        <v>1471.6999999999998</v>
      </c>
      <c r="L15" s="228"/>
      <c r="M15" s="227" t="e">
        <f t="shared" si="3"/>
        <v>#REF!</v>
      </c>
      <c r="N15" s="93" t="e">
        <f t="shared" si="8"/>
        <v>#REF!</v>
      </c>
      <c r="O15" s="93" t="e">
        <f t="shared" si="9"/>
        <v>#REF!</v>
      </c>
      <c r="P15" s="93" t="e">
        <f t="shared" si="10"/>
        <v>#REF!</v>
      </c>
      <c r="Q15" s="232" t="e">
        <f>(#REF!/#REF!)-1</f>
        <v>#REF!</v>
      </c>
      <c r="R15" s="58"/>
      <c r="S15" s="131" t="s">
        <v>38</v>
      </c>
      <c r="T15" s="58"/>
      <c r="U15" s="98" t="e">
        <f t="shared" si="0"/>
        <v>#REF!</v>
      </c>
      <c r="V15" s="53"/>
      <c r="W15" s="102" t="e">
        <f>#REF!/1000000000</f>
        <v>#REF!</v>
      </c>
      <c r="X15" s="151" t="e">
        <f t="shared" si="12"/>
        <v>#REF!</v>
      </c>
      <c r="Y15" s="53"/>
      <c r="Z15" s="102" t="e">
        <f>#REF!</f>
        <v>#REF!</v>
      </c>
      <c r="AA15" s="101" t="e">
        <f>#REF!</f>
        <v>#REF!</v>
      </c>
      <c r="AC15" s="258" t="e">
        <f t="shared" si="7"/>
        <v>#REF!</v>
      </c>
      <c r="AD15" s="55"/>
      <c r="AE15" s="55"/>
      <c r="AF15" s="56"/>
      <c r="AG15" s="168"/>
      <c r="AH15" s="43"/>
    </row>
    <row r="16" spans="1:34" x14ac:dyDescent="0.15">
      <c r="A16" s="64"/>
      <c r="B16" s="96" t="s">
        <v>41</v>
      </c>
      <c r="C16" s="221" t="e">
        <f>#REF!</f>
        <v>#REF!</v>
      </c>
      <c r="D16" s="216"/>
      <c r="E16" s="218" t="e">
        <f>#REF!</f>
        <v>#REF!</v>
      </c>
      <c r="F16" s="199">
        <v>33.19</v>
      </c>
      <c r="G16" s="196">
        <v>15.202</v>
      </c>
      <c r="H16" s="198" t="e">
        <f>E16*G16</f>
        <v>#REF!</v>
      </c>
      <c r="I16" s="200">
        <f>F16*ROUNDDOWN(G16,0)+9.95</f>
        <v>507.79999999999995</v>
      </c>
      <c r="J16" s="198">
        <v>1781.4913097534118</v>
      </c>
      <c r="K16" s="198">
        <v>1971.8688499999998</v>
      </c>
      <c r="L16" s="203"/>
      <c r="M16" s="227" t="e">
        <f t="shared" si="3"/>
        <v>#REF!</v>
      </c>
      <c r="N16" s="93" t="e">
        <f t="shared" si="8"/>
        <v>#REF!</v>
      </c>
      <c r="O16" s="93" t="e">
        <f t="shared" si="9"/>
        <v>#REF!</v>
      </c>
      <c r="P16" s="93" t="e">
        <f t="shared" si="10"/>
        <v>#REF!</v>
      </c>
      <c r="Q16" s="232" t="e">
        <f>(#REF!/#REF!)-1</f>
        <v>#REF!</v>
      </c>
      <c r="R16" s="58"/>
      <c r="S16" s="131" t="s">
        <v>146</v>
      </c>
      <c r="T16" s="58"/>
      <c r="U16" s="98" t="e">
        <f t="shared" si="0"/>
        <v>#REF!</v>
      </c>
      <c r="V16" s="53"/>
      <c r="W16" s="102" t="e">
        <f>#REF!/1000000000</f>
        <v>#REF!</v>
      </c>
      <c r="X16" s="254" t="s">
        <v>126</v>
      </c>
      <c r="Y16" s="53"/>
      <c r="Z16" s="102" t="e">
        <f>#REF!</f>
        <v>#REF!</v>
      </c>
      <c r="AA16" s="101" t="e">
        <f>#REF!</f>
        <v>#REF!</v>
      </c>
      <c r="AC16" s="258" t="e">
        <f t="shared" si="7"/>
        <v>#REF!</v>
      </c>
      <c r="AD16" s="55"/>
      <c r="AE16" s="55"/>
      <c r="AF16" s="56"/>
      <c r="AG16" s="168"/>
      <c r="AH16" s="43"/>
    </row>
    <row r="17" spans="1:52" x14ac:dyDescent="0.15">
      <c r="A17" s="64"/>
      <c r="B17" s="96" t="s">
        <v>137</v>
      </c>
      <c r="C17" s="221" t="e">
        <f>#REF!</f>
        <v>#REF!</v>
      </c>
      <c r="D17" s="216"/>
      <c r="E17" s="218" t="e">
        <f>#REF!</f>
        <v>#REF!</v>
      </c>
      <c r="F17" s="199">
        <v>14.42</v>
      </c>
      <c r="G17" s="196">
        <v>133.505</v>
      </c>
      <c r="H17" s="198" t="e">
        <f>E17*G17</f>
        <v>#REF!</v>
      </c>
      <c r="I17" s="200">
        <f>F17*ROUNDDOWN(G17,0)+9.95</f>
        <v>1927.81</v>
      </c>
      <c r="J17" s="198">
        <v>1947.8666598892187</v>
      </c>
      <c r="K17" s="198">
        <v>2830.9214499999998</v>
      </c>
      <c r="L17" s="203"/>
      <c r="M17" s="227" t="e">
        <f t="shared" si="3"/>
        <v>#REF!</v>
      </c>
      <c r="N17" s="93" t="e">
        <f t="shared" si="8"/>
        <v>#REF!</v>
      </c>
      <c r="O17" s="93" t="e">
        <f t="shared" si="9"/>
        <v>#REF!</v>
      </c>
      <c r="P17" s="93" t="e">
        <f t="shared" si="10"/>
        <v>#REF!</v>
      </c>
      <c r="Q17" s="232" t="e">
        <f>(#REF!/#REF!)-1</f>
        <v>#REF!</v>
      </c>
      <c r="R17" s="58"/>
      <c r="S17" s="131" t="s">
        <v>91</v>
      </c>
      <c r="T17" s="58"/>
      <c r="U17" s="98" t="e">
        <f t="shared" si="0"/>
        <v>#REF!</v>
      </c>
      <c r="V17" s="53"/>
      <c r="W17" s="102" t="e">
        <f>#REF!/1000000000</f>
        <v>#REF!</v>
      </c>
      <c r="X17" s="151" t="e">
        <f t="shared" ref="X17:X22" si="13">IF(W17&lt;2,"Small", IF(W17&lt;10, "Mid", IF(W17&gt;10, "Large")))</f>
        <v>#REF!</v>
      </c>
      <c r="Y17" s="53"/>
      <c r="Z17" s="102" t="e">
        <f>#REF!</f>
        <v>#REF!</v>
      </c>
      <c r="AA17" s="101" t="e">
        <f>#REF!</f>
        <v>#REF!</v>
      </c>
      <c r="AC17" s="258" t="e">
        <f t="shared" si="7"/>
        <v>#REF!</v>
      </c>
      <c r="AD17" s="55"/>
      <c r="AE17" s="55"/>
      <c r="AF17" s="56"/>
      <c r="AG17" s="168"/>
      <c r="AH17" s="43"/>
    </row>
    <row r="18" spans="1:52" x14ac:dyDescent="0.15">
      <c r="A18" s="1"/>
      <c r="B18" s="96" t="s">
        <v>102</v>
      </c>
      <c r="C18" s="221" t="e">
        <f>#REF!</f>
        <v>#REF!</v>
      </c>
      <c r="D18" s="216"/>
      <c r="E18" s="218" t="e">
        <f>#REF!</f>
        <v>#REF!</v>
      </c>
      <c r="F18" s="199">
        <v>35.72</v>
      </c>
      <c r="G18" s="197">
        <v>44.686999999999998</v>
      </c>
      <c r="H18" s="198" t="e">
        <f>E18*G18</f>
        <v>#REF!</v>
      </c>
      <c r="I18" s="200">
        <f>F18*ROUNDDOWN(G18,0)+9.95</f>
        <v>1581.6299999999999</v>
      </c>
      <c r="J18" s="198">
        <v>2787.3413924560564</v>
      </c>
      <c r="K18" s="198">
        <v>2256.3172499999996</v>
      </c>
      <c r="L18" s="203"/>
      <c r="M18" s="227" t="e">
        <f t="shared" si="3"/>
        <v>#REF!</v>
      </c>
      <c r="N18" s="93" t="e">
        <f t="shared" si="8"/>
        <v>#REF!</v>
      </c>
      <c r="O18" s="93" t="e">
        <f t="shared" si="9"/>
        <v>#REF!</v>
      </c>
      <c r="P18" s="93" t="e">
        <f t="shared" si="10"/>
        <v>#REF!</v>
      </c>
      <c r="Q18" s="232" t="e">
        <f>(#REF!/#REF!)-1</f>
        <v>#REF!</v>
      </c>
      <c r="R18" s="58"/>
      <c r="S18" s="131" t="s">
        <v>15</v>
      </c>
      <c r="T18" s="58"/>
      <c r="U18" s="98" t="e">
        <f t="shared" ref="U18:U25" si="14">H18/$H$27</f>
        <v>#REF!</v>
      </c>
      <c r="V18" s="53"/>
      <c r="W18" s="102" t="e">
        <f>#REF!/1000000000</f>
        <v>#REF!</v>
      </c>
      <c r="X18" s="151" t="e">
        <f>IF(W18&lt;2,"Small", IF(W18&lt;10, "Mid", IF(W18&gt;10, "Large")))</f>
        <v>#REF!</v>
      </c>
      <c r="Y18" s="53"/>
      <c r="Z18" s="102" t="e">
        <f>#REF!</f>
        <v>#REF!</v>
      </c>
      <c r="AA18" s="101" t="e">
        <f>#REF!</f>
        <v>#REF!</v>
      </c>
      <c r="AC18" s="258" t="e">
        <f t="shared" si="7"/>
        <v>#REF!</v>
      </c>
    </row>
    <row r="19" spans="1:52" x14ac:dyDescent="0.15">
      <c r="A19" s="1"/>
      <c r="B19" s="96" t="s">
        <v>78</v>
      </c>
      <c r="C19" s="221" t="e">
        <f>#REF!</f>
        <v>#REF!</v>
      </c>
      <c r="D19" s="216"/>
      <c r="E19" s="218" t="e">
        <f>#REF!</f>
        <v>#REF!</v>
      </c>
      <c r="F19" s="199">
        <v>25.46</v>
      </c>
      <c r="G19" s="196">
        <v>60</v>
      </c>
      <c r="H19" s="198" t="e">
        <f t="shared" si="1"/>
        <v>#REF!</v>
      </c>
      <c r="I19" s="200">
        <f t="shared" si="11"/>
        <v>1537.5500000000002</v>
      </c>
      <c r="J19" s="198">
        <v>1630.200004577634</v>
      </c>
      <c r="K19" s="198">
        <v>1536.6</v>
      </c>
      <c r="L19" s="203"/>
      <c r="M19" s="227" t="e">
        <f t="shared" si="3"/>
        <v>#REF!</v>
      </c>
      <c r="N19" s="93" t="e">
        <f t="shared" si="8"/>
        <v>#REF!</v>
      </c>
      <c r="O19" s="93" t="e">
        <f t="shared" si="9"/>
        <v>#REF!</v>
      </c>
      <c r="P19" s="93" t="e">
        <f t="shared" si="10"/>
        <v>#REF!</v>
      </c>
      <c r="Q19" s="232" t="e">
        <f>(#REF!/#REF!)-1</f>
        <v>#REF!</v>
      </c>
      <c r="R19" s="58"/>
      <c r="S19" s="131" t="s">
        <v>15</v>
      </c>
      <c r="T19" s="58"/>
      <c r="U19" s="98" t="e">
        <f t="shared" si="14"/>
        <v>#REF!</v>
      </c>
      <c r="V19" s="53"/>
      <c r="W19" s="102" t="e">
        <f>#REF!/1000000000</f>
        <v>#REF!</v>
      </c>
      <c r="X19" s="151" t="e">
        <f>IF(W19&lt;2,"Small", IF(W19&lt;10, "Mid", IF(W19&gt;10, "Large")))</f>
        <v>#REF!</v>
      </c>
      <c r="Y19" s="53"/>
      <c r="Z19" s="102" t="e">
        <f>#REF!</f>
        <v>#REF!</v>
      </c>
      <c r="AA19" s="101" t="e">
        <f>#REF!</f>
        <v>#REF!</v>
      </c>
      <c r="AC19" s="258" t="e">
        <f t="shared" si="7"/>
        <v>#REF!</v>
      </c>
    </row>
    <row r="20" spans="1:52" x14ac:dyDescent="0.15">
      <c r="A20" s="1"/>
      <c r="B20" s="96" t="s">
        <v>42</v>
      </c>
      <c r="C20" s="221" t="e">
        <f>#REF!</f>
        <v>#REF!</v>
      </c>
      <c r="D20" s="216"/>
      <c r="E20" s="218" t="e">
        <f>#REF!</f>
        <v>#REF!</v>
      </c>
      <c r="F20" s="199">
        <v>12.43</v>
      </c>
      <c r="G20" s="196">
        <v>150</v>
      </c>
      <c r="H20" s="198" t="e">
        <f t="shared" si="1"/>
        <v>#REF!</v>
      </c>
      <c r="I20" s="200">
        <f t="shared" si="11"/>
        <v>1874.45</v>
      </c>
      <c r="J20" s="198">
        <v>1874.45</v>
      </c>
      <c r="K20" s="198">
        <v>1933.5</v>
      </c>
      <c r="L20" s="203"/>
      <c r="M20" s="227" t="e">
        <f t="shared" si="3"/>
        <v>#REF!</v>
      </c>
      <c r="N20" s="93" t="e">
        <f t="shared" si="8"/>
        <v>#REF!</v>
      </c>
      <c r="O20" s="93" t="e">
        <f t="shared" si="9"/>
        <v>#REF!</v>
      </c>
      <c r="P20" s="93" t="e">
        <f t="shared" si="10"/>
        <v>#REF!</v>
      </c>
      <c r="Q20" s="232" t="e">
        <f>(#REF!/#REF!)-1</f>
        <v>#REF!</v>
      </c>
      <c r="R20" s="58"/>
      <c r="S20" s="131" t="s">
        <v>128</v>
      </c>
      <c r="T20" s="58"/>
      <c r="U20" s="98" t="e">
        <f t="shared" si="14"/>
        <v>#REF!</v>
      </c>
      <c r="V20" s="53"/>
      <c r="W20" s="102" t="e">
        <f>#REF!/1000000000</f>
        <v>#REF!</v>
      </c>
      <c r="X20" s="134" t="e">
        <f>IF(W20&lt;2,"Small", IF(W20&lt;10, "Mid", IF(W20&gt;10, "Large")))</f>
        <v>#REF!</v>
      </c>
      <c r="Y20" s="53"/>
      <c r="Z20" s="102" t="e">
        <f>#REF!</f>
        <v>#REF!</v>
      </c>
      <c r="AA20" s="101" t="e">
        <f>#REF!</f>
        <v>#REF!</v>
      </c>
      <c r="AC20" s="258" t="e">
        <f t="shared" si="7"/>
        <v>#REF!</v>
      </c>
    </row>
    <row r="21" spans="1:52" s="66" customFormat="1" ht="14" thickBot="1" x14ac:dyDescent="0.2">
      <c r="A21" s="1"/>
      <c r="B21" s="96" t="s">
        <v>56</v>
      </c>
      <c r="C21" s="221" t="e">
        <f>#REF!</f>
        <v>#REF!</v>
      </c>
      <c r="D21" s="216"/>
      <c r="E21" s="218" t="e">
        <f>#REF!</f>
        <v>#REF!</v>
      </c>
      <c r="F21" s="199">
        <v>16.649999999999999</v>
      </c>
      <c r="G21" s="196">
        <v>100</v>
      </c>
      <c r="H21" s="198" t="e">
        <f t="shared" si="1"/>
        <v>#REF!</v>
      </c>
      <c r="I21" s="200">
        <f>F21*ROUNDDOWN(G21,0)+9.95</f>
        <v>1674.9499999999998</v>
      </c>
      <c r="J21" s="198">
        <v>1665</v>
      </c>
      <c r="K21" s="198">
        <v>1919.0000000000002</v>
      </c>
      <c r="L21" s="203"/>
      <c r="M21" s="227" t="e">
        <f t="shared" si="3"/>
        <v>#REF!</v>
      </c>
      <c r="N21" s="93" t="e">
        <f t="shared" si="8"/>
        <v>#REF!</v>
      </c>
      <c r="O21" s="93" t="e">
        <f t="shared" si="9"/>
        <v>#REF!</v>
      </c>
      <c r="P21" s="93" t="e">
        <f t="shared" si="10"/>
        <v>#REF!</v>
      </c>
      <c r="Q21" s="232" t="e">
        <f>(#REF!/#REF!)-1</f>
        <v>#REF!</v>
      </c>
      <c r="R21" s="58"/>
      <c r="S21" s="131" t="s">
        <v>90</v>
      </c>
      <c r="T21" s="58"/>
      <c r="U21" s="98" t="e">
        <f t="shared" si="14"/>
        <v>#REF!</v>
      </c>
      <c r="V21" s="53"/>
      <c r="W21" s="102" t="e">
        <f>#REF!/1000000000</f>
        <v>#REF!</v>
      </c>
      <c r="X21" s="145" t="e">
        <f t="shared" si="13"/>
        <v>#REF!</v>
      </c>
      <c r="Y21" s="53"/>
      <c r="Z21" s="102" t="e">
        <f>#REF!</f>
        <v>#REF!</v>
      </c>
      <c r="AA21" s="101" t="e">
        <f>#REF!</f>
        <v>#REF!</v>
      </c>
      <c r="AB21" s="44"/>
      <c r="AC21" s="258" t="e">
        <f t="shared" si="7"/>
        <v>#REF!</v>
      </c>
      <c r="AD21" s="44"/>
      <c r="AE21" s="44"/>
      <c r="AF21" s="44"/>
      <c r="AG21" s="44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</row>
    <row r="22" spans="1:52" s="43" customFormat="1" x14ac:dyDescent="0.15">
      <c r="A22" s="1"/>
      <c r="B22" s="96" t="s">
        <v>107</v>
      </c>
      <c r="C22" s="221" t="e">
        <f>#REF!</f>
        <v>#REF!</v>
      </c>
      <c r="D22" s="216"/>
      <c r="E22" s="218" t="e">
        <f>#REF!</f>
        <v>#REF!</v>
      </c>
      <c r="F22" s="199">
        <v>71.52</v>
      </c>
      <c r="G22" s="196">
        <v>46.991999999999997</v>
      </c>
      <c r="H22" s="198" t="e">
        <f t="shared" si="1"/>
        <v>#REF!</v>
      </c>
      <c r="I22" s="200">
        <f t="shared" ref="I22:I24" si="15">F22*ROUNDDOWN(G22,0)+9.95</f>
        <v>3299.8699999999994</v>
      </c>
      <c r="J22" s="198">
        <v>3354.1306738281278</v>
      </c>
      <c r="K22" s="198">
        <v>3456.7315199999998</v>
      </c>
      <c r="L22" s="203"/>
      <c r="M22" s="227" t="e">
        <f t="shared" si="3"/>
        <v>#REF!</v>
      </c>
      <c r="N22" s="93" t="e">
        <f t="shared" si="8"/>
        <v>#REF!</v>
      </c>
      <c r="O22" s="93" t="e">
        <f t="shared" si="9"/>
        <v>#REF!</v>
      </c>
      <c r="P22" s="93" t="e">
        <f t="shared" si="10"/>
        <v>#REF!</v>
      </c>
      <c r="Q22" s="232" t="e">
        <f>(#REF!/#REF!)-1</f>
        <v>#REF!</v>
      </c>
      <c r="R22" s="58"/>
      <c r="S22" s="131" t="s">
        <v>15</v>
      </c>
      <c r="T22" s="58"/>
      <c r="U22" s="98" t="e">
        <f t="shared" si="14"/>
        <v>#REF!</v>
      </c>
      <c r="V22" s="53"/>
      <c r="W22" s="102" t="e">
        <f>#REF!/1000000000</f>
        <v>#REF!</v>
      </c>
      <c r="X22" s="151" t="e">
        <f t="shared" si="13"/>
        <v>#REF!</v>
      </c>
      <c r="Y22" s="53"/>
      <c r="Z22" s="102" t="e">
        <f>#REF!</f>
        <v>#REF!</v>
      </c>
      <c r="AA22" s="101" t="e">
        <f>#REF!</f>
        <v>#REF!</v>
      </c>
      <c r="AB22" s="44"/>
      <c r="AC22" s="258" t="e">
        <f t="shared" si="7"/>
        <v>#REF!</v>
      </c>
      <c r="AD22" s="44"/>
      <c r="AE22" s="44"/>
      <c r="AF22" s="44"/>
      <c r="AG22" s="44"/>
    </row>
    <row r="23" spans="1:52" s="43" customFormat="1" x14ac:dyDescent="0.15">
      <c r="A23" s="1"/>
      <c r="B23" s="248"/>
      <c r="C23" s="221" t="e">
        <f>#REF!</f>
        <v>#REF!</v>
      </c>
      <c r="D23" s="216"/>
      <c r="E23" s="218" t="e">
        <f>#REF!</f>
        <v>#REF!</v>
      </c>
      <c r="F23" s="199">
        <v>25</v>
      </c>
      <c r="G23" s="196">
        <v>52.119</v>
      </c>
      <c r="H23" s="198" t="e">
        <f t="shared" si="1"/>
        <v>#REF!</v>
      </c>
      <c r="I23" s="200">
        <f t="shared" si="15"/>
        <v>1309.95</v>
      </c>
      <c r="J23" s="198">
        <v>1435.9306000156416</v>
      </c>
      <c r="K23" s="198">
        <v>1653.21468</v>
      </c>
      <c r="L23" s="203"/>
      <c r="M23" s="227" t="e">
        <f t="shared" si="3"/>
        <v>#REF!</v>
      </c>
      <c r="N23" s="93" t="e">
        <f t="shared" si="8"/>
        <v>#REF!</v>
      </c>
      <c r="O23" s="93" t="e">
        <f t="shared" si="9"/>
        <v>#REF!</v>
      </c>
      <c r="P23" s="93" t="e">
        <f t="shared" si="10"/>
        <v>#REF!</v>
      </c>
      <c r="Q23" s="232" t="e">
        <f>(#REF!/#REF!)-1</f>
        <v>#REF!</v>
      </c>
      <c r="R23" s="230"/>
      <c r="S23" s="131" t="s">
        <v>89</v>
      </c>
      <c r="T23" s="203"/>
      <c r="U23" s="98" t="e">
        <f t="shared" si="14"/>
        <v>#REF!</v>
      </c>
      <c r="V23" s="202"/>
      <c r="W23" s="102" t="e">
        <f>#REF!/1000000000</f>
        <v>#REF!</v>
      </c>
      <c r="X23" s="151" t="e">
        <f>IF(W23&lt;2,"Small", IF(W23&lt;10, "Mid", IF(W23&gt;10, "Large")))</f>
        <v>#REF!</v>
      </c>
      <c r="Y23" s="202"/>
      <c r="Z23" s="102" t="e">
        <f>#REF!</f>
        <v>#REF!</v>
      </c>
      <c r="AA23" s="101" t="e">
        <f>#REF!</f>
        <v>#REF!</v>
      </c>
      <c r="AB23" s="44"/>
      <c r="AC23" s="258" t="e">
        <f t="shared" si="7"/>
        <v>#REF!</v>
      </c>
      <c r="AD23" s="44"/>
      <c r="AE23" s="44"/>
      <c r="AF23" s="44"/>
      <c r="AG23" s="44"/>
    </row>
    <row r="24" spans="1:52" x14ac:dyDescent="0.15">
      <c r="A24" s="1"/>
      <c r="B24" s="96" t="s">
        <v>16</v>
      </c>
      <c r="C24" s="221" t="e">
        <f>#REF!</f>
        <v>#REF!</v>
      </c>
      <c r="D24" s="216"/>
      <c r="E24" s="218" t="e">
        <f>#REF!</f>
        <v>#REF!</v>
      </c>
      <c r="F24" s="199">
        <v>23.42</v>
      </c>
      <c r="G24" s="196">
        <v>51.372999999999998</v>
      </c>
      <c r="H24" s="198" t="e">
        <f t="shared" si="1"/>
        <v>#REF!</v>
      </c>
      <c r="I24" s="200">
        <f t="shared" si="15"/>
        <v>1204.3700000000001</v>
      </c>
      <c r="J24" s="198">
        <v>1778.2684477882387</v>
      </c>
      <c r="K24" s="198">
        <v>1703.5286799999997</v>
      </c>
      <c r="L24" s="228"/>
      <c r="M24" s="227" t="e">
        <f t="shared" si="3"/>
        <v>#REF!</v>
      </c>
      <c r="N24" s="93" t="e">
        <f t="shared" si="8"/>
        <v>#REF!</v>
      </c>
      <c r="O24" s="93" t="e">
        <f t="shared" si="9"/>
        <v>#REF!</v>
      </c>
      <c r="P24" s="93" t="e">
        <f t="shared" si="10"/>
        <v>#REF!</v>
      </c>
      <c r="Q24" s="232" t="e">
        <f>(#REF!/#REF!)-1</f>
        <v>#REF!</v>
      </c>
      <c r="R24" s="57"/>
      <c r="S24" s="131" t="s">
        <v>2</v>
      </c>
      <c r="T24" s="57"/>
      <c r="U24" s="98" t="e">
        <f t="shared" si="14"/>
        <v>#REF!</v>
      </c>
      <c r="V24" s="53"/>
      <c r="W24" s="102" t="e">
        <f>#REF!/1000000000</f>
        <v>#REF!</v>
      </c>
      <c r="X24" s="151" t="e">
        <f>IF(W24&lt;2,"Small", IF(W24&lt;10, "Mid", IF(W24&gt;10, "Large")))</f>
        <v>#REF!</v>
      </c>
      <c r="Y24" s="53"/>
      <c r="Z24" s="102" t="e">
        <f>#REF!</f>
        <v>#REF!</v>
      </c>
      <c r="AA24" s="101" t="e">
        <f>#REF!</f>
        <v>#REF!</v>
      </c>
      <c r="AC24" s="258" t="e">
        <f t="shared" si="7"/>
        <v>#REF!</v>
      </c>
      <c r="AD24" s="55"/>
      <c r="AE24" s="55"/>
      <c r="AF24" s="56"/>
      <c r="AG24" s="168"/>
      <c r="AH24" s="43"/>
    </row>
    <row r="25" spans="1:52" s="43" customFormat="1" ht="14" thickBot="1" x14ac:dyDescent="0.2">
      <c r="A25" s="1"/>
      <c r="B25" s="248"/>
      <c r="C25" s="221" t="e">
        <f>#REF!</f>
        <v>#REF!</v>
      </c>
      <c r="D25" s="216"/>
      <c r="E25" s="218" t="e">
        <f>#REF!</f>
        <v>#REF!</v>
      </c>
      <c r="F25" s="199">
        <v>10.84</v>
      </c>
      <c r="G25" s="196">
        <v>103.821</v>
      </c>
      <c r="H25" s="198" t="e">
        <f t="shared" si="1"/>
        <v>#REF!</v>
      </c>
      <c r="I25" s="200">
        <f>F25*ROUNDDOWN(G25,0)+9.95</f>
        <v>1126.47</v>
      </c>
      <c r="J25" s="198">
        <v>792.27646229124048</v>
      </c>
      <c r="K25" s="198">
        <v>704.94458999999995</v>
      </c>
      <c r="L25" s="203"/>
      <c r="M25" s="227" t="e">
        <f t="shared" si="3"/>
        <v>#REF!</v>
      </c>
      <c r="N25" s="93" t="e">
        <f t="shared" si="8"/>
        <v>#REF!</v>
      </c>
      <c r="O25" s="93" t="e">
        <f t="shared" si="9"/>
        <v>#REF!</v>
      </c>
      <c r="P25" s="93" t="e">
        <f t="shared" si="10"/>
        <v>#REF!</v>
      </c>
      <c r="Q25" s="232" t="e">
        <f>(#REF!/#REF!)-1</f>
        <v>#REF!</v>
      </c>
      <c r="R25" s="58"/>
      <c r="S25" s="131" t="s">
        <v>91</v>
      </c>
      <c r="T25" s="58"/>
      <c r="U25" s="98" t="e">
        <f t="shared" si="14"/>
        <v>#REF!</v>
      </c>
      <c r="V25" s="53"/>
      <c r="W25" s="102" t="e">
        <f>#REF!/1000000000</f>
        <v>#REF!</v>
      </c>
      <c r="X25" s="151" t="e">
        <f>IF(W25&lt;2,"Small", IF(W25&lt;10, "Mid", IF(W25&gt;10, "Large")))</f>
        <v>#REF!</v>
      </c>
      <c r="Y25" s="53"/>
      <c r="Z25" s="102" t="e">
        <f>#REF!</f>
        <v>#REF!</v>
      </c>
      <c r="AA25" s="101" t="e">
        <f>#REF!</f>
        <v>#REF!</v>
      </c>
      <c r="AB25" s="44"/>
      <c r="AC25" s="258" t="e">
        <f t="shared" si="7"/>
        <v>#REF!</v>
      </c>
      <c r="AD25" s="44"/>
      <c r="AE25" s="44"/>
      <c r="AF25" s="44"/>
      <c r="AG25" s="44"/>
    </row>
    <row r="26" spans="1:52" s="80" customFormat="1" ht="5.25" customHeight="1" thickBot="1" x14ac:dyDescent="0.2">
      <c r="A26" s="1"/>
      <c r="B26" s="68"/>
      <c r="C26" s="68"/>
      <c r="D26" s="215"/>
      <c r="E26" s="69"/>
      <c r="F26" s="72"/>
      <c r="G26" s="70"/>
      <c r="H26" s="71"/>
      <c r="I26" s="73"/>
      <c r="J26" s="73"/>
      <c r="K26" s="73"/>
      <c r="L26" s="229"/>
      <c r="M26" s="75"/>
      <c r="N26" s="74"/>
      <c r="O26" s="73"/>
      <c r="P26" s="73"/>
      <c r="Q26" s="73"/>
      <c r="R26" s="58"/>
      <c r="S26" s="76"/>
      <c r="T26" s="58"/>
      <c r="U26" s="77"/>
      <c r="V26" s="53"/>
      <c r="W26" s="78"/>
      <c r="X26" s="79"/>
      <c r="Y26" s="53"/>
      <c r="Z26" s="78"/>
      <c r="AA26" s="79"/>
      <c r="AB26" s="46"/>
      <c r="AC26" s="150"/>
      <c r="AD26" s="44"/>
      <c r="AE26" s="44"/>
      <c r="AF26" s="44"/>
      <c r="AG26" s="44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</row>
    <row r="27" spans="1:52" ht="14" thickBot="1" x14ac:dyDescent="0.2">
      <c r="A27" s="1"/>
      <c r="B27" s="106"/>
      <c r="C27" s="189" t="s">
        <v>145</v>
      </c>
      <c r="D27" s="213"/>
      <c r="E27" s="107"/>
      <c r="F27" s="108"/>
      <c r="G27" s="107"/>
      <c r="H27" s="41" t="e">
        <f>SUM(H4:H25)</f>
        <v>#REF!</v>
      </c>
      <c r="I27" s="110">
        <f>SUM(I4:I25)</f>
        <v>34299.51</v>
      </c>
      <c r="J27" s="41">
        <v>40381.870389354226</v>
      </c>
      <c r="K27" s="222">
        <f>SUM(K4:K25)</f>
        <v>41863.401519999999</v>
      </c>
      <c r="L27" s="38"/>
      <c r="M27" s="42" t="e">
        <f>H27-I27</f>
        <v>#REF!</v>
      </c>
      <c r="N27" s="259" t="e">
        <f>(H27/I27)-1</f>
        <v>#REF!</v>
      </c>
      <c r="O27" s="259" t="e">
        <f>(H27/J27)-1</f>
        <v>#REF!</v>
      </c>
      <c r="P27" s="259" t="e">
        <f>(H27/K27)-1</f>
        <v>#REF!</v>
      </c>
      <c r="Q27" s="259" t="e">
        <f>AC27</f>
        <v>#REF!</v>
      </c>
      <c r="R27" s="38"/>
      <c r="S27" s="38"/>
      <c r="T27" s="38"/>
      <c r="U27" s="109" t="e">
        <f>SUM(U4:U25)</f>
        <v>#REF!</v>
      </c>
      <c r="V27" s="38"/>
      <c r="W27" s="38"/>
      <c r="X27" s="39"/>
      <c r="Y27" s="38"/>
      <c r="Z27" s="154" t="e">
        <f>(Z5*$U$5)+(Z7*$U$7)+(Z8*$U$8)+(Z9*$U$9)+(Z10*$U$10)+(Z11*$U$11)+(Z12*$U$12)+(Z13*$U$13)+(Z14*$U$14)+(Z15*$U$15)+(Z16*$U$16)+(Z17*$U$17)+(Z18*$U$18)+(Z19*$U$19)+(Z20*$U$20)+(Z21*$U$21)+(Z22*$U$22)+(Z23*$U$23)+(Z24*$U$24)</f>
        <v>#REF!</v>
      </c>
      <c r="AA27" s="155" t="e">
        <f>(AA5*$U$5)+(AA7*$U$7)+(AA24*$U$24)+(AA8*$U$8)+(AA9*$U$9)+(AA10*$U$10)+(AA11*$U$11)+(AA12*$U$12)+(AA13*$U$13)+(AA14*$U$14)+(AA15*$U$15)+(AA16*$U$16)+(AA17*$AA$17)+(AA19*$AA$19)+(AA18*$U$18)+(AA20*$U$20)+(AA21*$U$21)+(AA22*$U$22)+(AA23*$U$23)+(AA25*$U$25)</f>
        <v>#REF!</v>
      </c>
      <c r="AC27" s="258" t="e">
        <f>SUM(AC4:AC25)</f>
        <v>#REF!</v>
      </c>
      <c r="AD27" s="44"/>
      <c r="AE27" s="44"/>
      <c r="AF27" s="44"/>
      <c r="AG27" s="44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</row>
    <row r="28" spans="1:52" ht="6.75" customHeight="1" thickTop="1" thickBot="1" x14ac:dyDescent="0.2">
      <c r="A28" s="82"/>
      <c r="B28" s="82"/>
      <c r="C28" s="82"/>
      <c r="D28" s="82"/>
      <c r="E28" s="210"/>
      <c r="F28" s="52"/>
      <c r="G28" s="210"/>
      <c r="H28" s="156"/>
      <c r="I28" s="158"/>
      <c r="J28" s="158"/>
      <c r="K28" s="158"/>
      <c r="L28" s="158"/>
      <c r="M28" s="54"/>
      <c r="N28" s="159"/>
      <c r="O28" s="158"/>
      <c r="P28" s="158"/>
      <c r="Q28" s="158"/>
      <c r="R28" s="53"/>
      <c r="S28" s="53"/>
      <c r="T28" s="53"/>
      <c r="U28" s="53"/>
      <c r="V28" s="53"/>
      <c r="W28" s="53"/>
      <c r="X28" s="53"/>
      <c r="Y28" s="53"/>
      <c r="Z28" s="129"/>
      <c r="AA28" s="53"/>
      <c r="AD28" s="44"/>
      <c r="AE28" s="44"/>
      <c r="AF28" s="44"/>
      <c r="AG28" s="44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</row>
    <row r="29" spans="1:52" ht="14" thickBot="1" x14ac:dyDescent="0.2">
      <c r="A29" s="82"/>
      <c r="B29" s="82"/>
      <c r="C29" s="82"/>
      <c r="D29" s="82"/>
      <c r="E29" s="247" t="s">
        <v>173</v>
      </c>
      <c r="F29" s="242"/>
      <c r="G29" s="243"/>
      <c r="H29" s="244"/>
      <c r="I29" s="245"/>
      <c r="J29" s="245"/>
      <c r="K29" s="246"/>
      <c r="L29" s="158"/>
      <c r="M29" s="54"/>
      <c r="N29" s="159"/>
      <c r="O29" s="158"/>
      <c r="P29" s="158"/>
      <c r="Q29" s="158"/>
      <c r="R29" s="53"/>
      <c r="S29" s="53"/>
      <c r="T29" s="53"/>
      <c r="U29" s="53"/>
      <c r="V29" s="53"/>
      <c r="W29" s="53"/>
      <c r="X29" s="536" t="s">
        <v>175</v>
      </c>
      <c r="Y29" s="537"/>
      <c r="Z29" s="538"/>
      <c r="AA29" s="155" t="e">
        <f>(AA7*$U$7)+(AA24*$U$24)+(AA8*$U$8)+(AA9*$U$9)+(AA10*$U$10)+(AA11*$U$11)+(AA12*$U$12)+(AA13*$U$13)+(AA14*$U$14)+(AA15*$U$15)+(AA16*$U$16)+(AA17*$U$17)+(AA19*$U$19)+(AA18*$U$18)+(AA20*$U$20)+(AA21*$U$21)+(AA22*$U$22)+(AA23*$U$23)+(AA25*$U$25)</f>
        <v>#REF!</v>
      </c>
      <c r="AD29" s="44"/>
      <c r="AE29" s="44"/>
      <c r="AF29" s="44"/>
      <c r="AG29" s="44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</row>
    <row r="30" spans="1:52" ht="3.75" customHeight="1" thickBot="1" x14ac:dyDescent="0.2">
      <c r="A30" s="535"/>
      <c r="B30" s="535"/>
      <c r="C30" s="181"/>
      <c r="D30" s="209"/>
      <c r="E30" s="209"/>
      <c r="F30" s="44"/>
      <c r="G30" s="211"/>
      <c r="H30" s="211"/>
      <c r="I30" s="157"/>
      <c r="J30" s="157"/>
      <c r="K30" s="157"/>
      <c r="L30" s="157"/>
      <c r="M30" s="43"/>
      <c r="N30" s="160"/>
      <c r="O30" s="157"/>
      <c r="P30" s="157"/>
      <c r="Q30" s="157"/>
      <c r="R30" s="43"/>
      <c r="S30" s="43"/>
      <c r="T30" s="43"/>
      <c r="U30" s="43"/>
      <c r="V30" s="43"/>
      <c r="W30" s="43"/>
      <c r="X30" s="43"/>
      <c r="Y30" s="43"/>
      <c r="Z30" s="43"/>
    </row>
    <row r="31" spans="1:52" ht="14" thickBot="1" x14ac:dyDescent="0.2">
      <c r="A31" s="250"/>
      <c r="B31" s="250"/>
      <c r="C31" s="250"/>
      <c r="D31" s="250"/>
      <c r="E31" s="247"/>
      <c r="F31" s="242"/>
      <c r="G31" s="243"/>
      <c r="H31" s="251"/>
      <c r="I31" s="157"/>
      <c r="J31" s="157"/>
      <c r="K31" s="157"/>
      <c r="L31" s="157"/>
      <c r="M31" s="43"/>
      <c r="N31" s="160"/>
      <c r="O31" s="157"/>
      <c r="P31" s="157"/>
      <c r="Q31" s="157"/>
      <c r="R31" s="43"/>
      <c r="S31" s="43"/>
      <c r="T31" s="43"/>
      <c r="U31" s="43"/>
      <c r="V31" s="43"/>
      <c r="W31" s="43"/>
      <c r="X31" s="43"/>
      <c r="Y31" s="43"/>
      <c r="Z31" s="43"/>
    </row>
    <row r="32" spans="1:52" x14ac:dyDescent="0.15">
      <c r="A32" s="532"/>
      <c r="B32" s="532"/>
      <c r="C32" s="179"/>
      <c r="D32" s="206"/>
      <c r="E32" s="55"/>
      <c r="F32" s="44"/>
      <c r="G32" s="212"/>
      <c r="H32" s="21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x14ac:dyDescent="0.15">
      <c r="A33" s="532"/>
      <c r="B33" s="532"/>
      <c r="C33" s="260"/>
      <c r="D33" s="206"/>
      <c r="E33" s="44"/>
      <c r="F33" s="44"/>
      <c r="G33" s="205"/>
      <c r="H33" s="205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x14ac:dyDescent="0.15">
      <c r="A34" s="532"/>
      <c r="B34" s="532"/>
      <c r="C34" s="261"/>
      <c r="D34" s="206"/>
      <c r="E34" s="55"/>
      <c r="F34" s="44"/>
      <c r="G34" s="205"/>
      <c r="H34" s="205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x14ac:dyDescent="0.15">
      <c r="A35" s="532"/>
      <c r="B35" s="532"/>
      <c r="C35" s="179"/>
      <c r="D35" s="206"/>
      <c r="E35" s="55"/>
      <c r="F35" s="44"/>
      <c r="G35" s="205"/>
      <c r="H35" s="205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x14ac:dyDescent="0.15">
      <c r="A36" s="532"/>
      <c r="B36" s="532"/>
      <c r="C36" s="179"/>
      <c r="D36" s="206"/>
      <c r="E36" s="44"/>
      <c r="F36" s="44"/>
      <c r="G36" s="205"/>
      <c r="H36" s="205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x14ac:dyDescent="0.15">
      <c r="A37" s="532"/>
      <c r="B37" s="532"/>
      <c r="C37" s="179"/>
      <c r="D37" s="206"/>
      <c r="E37" s="44"/>
      <c r="F37" s="44"/>
      <c r="G37" s="205"/>
      <c r="H37" s="205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x14ac:dyDescent="0.15">
      <c r="A38" s="532"/>
      <c r="B38" s="532"/>
      <c r="C38" s="179"/>
      <c r="D38" s="206"/>
      <c r="E38" s="44"/>
      <c r="F38" s="44"/>
      <c r="G38" s="205"/>
      <c r="H38" s="205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x14ac:dyDescent="0.15">
      <c r="A39" s="532"/>
      <c r="B39" s="532"/>
      <c r="C39" s="179"/>
      <c r="D39" s="206"/>
      <c r="E39" s="44"/>
      <c r="G39" s="205"/>
      <c r="H39" s="205"/>
    </row>
    <row r="40" spans="1:26" x14ac:dyDescent="0.15">
      <c r="A40" s="532"/>
      <c r="B40" s="532"/>
      <c r="C40" s="179"/>
      <c r="D40" s="206"/>
      <c r="E40" s="44"/>
      <c r="G40" s="205"/>
      <c r="H40" s="205"/>
    </row>
    <row r="41" spans="1:26" x14ac:dyDescent="0.15">
      <c r="A41" s="532"/>
      <c r="B41" s="532"/>
      <c r="C41" s="179"/>
      <c r="D41" s="206"/>
      <c r="E41" s="44"/>
      <c r="G41" s="205"/>
      <c r="H41" s="205"/>
    </row>
    <row r="42" spans="1:26" x14ac:dyDescent="0.15">
      <c r="A42" s="532"/>
      <c r="B42" s="532"/>
      <c r="C42" s="179"/>
      <c r="D42" s="206"/>
      <c r="E42" s="44"/>
      <c r="G42" s="205"/>
      <c r="H42" s="205"/>
    </row>
    <row r="43" spans="1:26" x14ac:dyDescent="0.15">
      <c r="A43" s="531"/>
      <c r="B43" s="531"/>
      <c r="C43" s="180"/>
      <c r="D43" s="207"/>
      <c r="E43" s="55"/>
      <c r="G43" s="205"/>
      <c r="H43" s="205"/>
    </row>
    <row r="45" spans="1:26" x14ac:dyDescent="0.15">
      <c r="A45" s="43"/>
    </row>
    <row r="46" spans="1:26" x14ac:dyDescent="0.15">
      <c r="A46" s="43"/>
    </row>
    <row r="47" spans="1:26" x14ac:dyDescent="0.15">
      <c r="A47" s="87"/>
    </row>
    <row r="51" spans="2:28" x14ac:dyDescent="0.15">
      <c r="B51" s="91"/>
      <c r="C51" s="91"/>
      <c r="D51" s="91"/>
    </row>
    <row r="52" spans="2:28" x14ac:dyDescent="0.15">
      <c r="B52" s="91"/>
      <c r="C52" s="91"/>
      <c r="D52" s="91"/>
    </row>
    <row r="53" spans="2:28" x14ac:dyDescent="0.15">
      <c r="B53" s="91"/>
      <c r="C53" s="91"/>
      <c r="D53" s="91"/>
    </row>
    <row r="54" spans="2:28" x14ac:dyDescent="0.15">
      <c r="B54" s="91"/>
      <c r="C54" s="91"/>
      <c r="D54" s="91"/>
    </row>
    <row r="55" spans="2:28" x14ac:dyDescent="0.15">
      <c r="B55" s="91"/>
      <c r="C55" s="91"/>
      <c r="D55" s="91"/>
    </row>
    <row r="56" spans="2:28" x14ac:dyDescent="0.15">
      <c r="B56" s="91"/>
      <c r="C56" s="91"/>
      <c r="D56" s="91"/>
    </row>
    <row r="57" spans="2:28" x14ac:dyDescent="0.15">
      <c r="B57" s="91"/>
      <c r="C57" s="91"/>
      <c r="D57" s="91"/>
    </row>
    <row r="58" spans="2:28" x14ac:dyDescent="0.15">
      <c r="B58" s="91"/>
      <c r="C58" s="91"/>
      <c r="D58" s="91"/>
    </row>
    <row r="59" spans="2:28" ht="14" thickBot="1" x14ac:dyDescent="0.2">
      <c r="B59" s="91"/>
      <c r="C59" s="91"/>
      <c r="D59" s="91"/>
      <c r="F59" s="46"/>
      <c r="G59" s="46"/>
      <c r="H59" s="46"/>
    </row>
    <row r="60" spans="2:28" x14ac:dyDescent="0.15">
      <c r="B60" s="91"/>
      <c r="C60" s="91"/>
      <c r="D60" s="91"/>
      <c r="X60" s="83" t="s">
        <v>33</v>
      </c>
      <c r="Y60" s="80"/>
      <c r="Z60" s="81"/>
      <c r="AA60" s="84"/>
      <c r="AB60" s="183"/>
    </row>
    <row r="61" spans="2:28" x14ac:dyDescent="0.15">
      <c r="B61" s="92"/>
      <c r="C61" s="92"/>
      <c r="D61" s="92"/>
      <c r="X61" s="85" t="s">
        <v>104</v>
      </c>
      <c r="Y61" s="43"/>
      <c r="Z61" s="44"/>
      <c r="AA61" s="86"/>
      <c r="AB61" s="183"/>
    </row>
    <row r="62" spans="2:28" x14ac:dyDescent="0.15">
      <c r="X62" s="85" t="s">
        <v>96</v>
      </c>
      <c r="Y62" s="43"/>
      <c r="Z62" s="44"/>
      <c r="AA62" s="86"/>
      <c r="AB62" s="183"/>
    </row>
    <row r="63" spans="2:28" x14ac:dyDescent="0.15">
      <c r="X63" s="88" t="s">
        <v>97</v>
      </c>
      <c r="Y63" s="87"/>
      <c r="Z63" s="44"/>
      <c r="AA63" s="86"/>
      <c r="AB63" s="183"/>
    </row>
    <row r="64" spans="2:28" ht="14" thickBot="1" x14ac:dyDescent="0.2">
      <c r="X64" s="89" t="s">
        <v>105</v>
      </c>
      <c r="Y64" s="182"/>
      <c r="Z64" s="67"/>
      <c r="AA64" s="90"/>
      <c r="AB64" s="183"/>
    </row>
  </sheetData>
  <mergeCells count="15">
    <mergeCell ref="A43:B43"/>
    <mergeCell ref="A34:B34"/>
    <mergeCell ref="A35:B35"/>
    <mergeCell ref="W3:X3"/>
    <mergeCell ref="A39:B39"/>
    <mergeCell ref="A32:B32"/>
    <mergeCell ref="A36:B36"/>
    <mergeCell ref="A30:B30"/>
    <mergeCell ref="A33:B33"/>
    <mergeCell ref="A37:B37"/>
    <mergeCell ref="A38:B38"/>
    <mergeCell ref="A40:B40"/>
    <mergeCell ref="A41:B41"/>
    <mergeCell ref="A42:B42"/>
    <mergeCell ref="X29:Z29"/>
  </mergeCells>
  <phoneticPr fontId="10" type="noConversion"/>
  <conditionalFormatting sqref="B3:D3">
    <cfRule type="cellIs" dxfId="8" priority="17" operator="lessThan">
      <formula>1</formula>
    </cfRule>
  </conditionalFormatting>
  <conditionalFormatting sqref="X4:X25">
    <cfRule type="containsText" dxfId="7" priority="13" operator="containsText" text="Mid">
      <formula>NOT(ISERROR(SEARCH("Mid",X4)))</formula>
    </cfRule>
    <cfRule type="containsText" dxfId="6" priority="14" operator="containsText" text="Small">
      <formula>NOT(ISERROR(SEARCH("Small",X4)))</formula>
    </cfRule>
    <cfRule type="containsText" dxfId="5" priority="15" operator="containsText" text="Large">
      <formula>NOT(ISERROR(SEARCH("Large",X4)))</formula>
    </cfRule>
  </conditionalFormatting>
  <conditionalFormatting sqref="H31 M5:Q25">
    <cfRule type="cellIs" dxfId="4" priority="10" operator="lessThan">
      <formula>0</formula>
    </cfRule>
  </conditionalFormatting>
  <conditionalFormatting sqref="P27">
    <cfRule type="cellIs" dxfId="3" priority="4" operator="lessThan">
      <formula>0</formula>
    </cfRule>
  </conditionalFormatting>
  <conditionalFormatting sqref="Q27">
    <cfRule type="cellIs" dxfId="2" priority="3" operator="lessThan">
      <formula>0</formula>
    </cfRule>
  </conditionalFormatting>
  <conditionalFormatting sqref="O27">
    <cfRule type="cellIs" dxfId="1" priority="2" operator="lessThan">
      <formula>0</formula>
    </cfRule>
  </conditionalFormatting>
  <conditionalFormatting sqref="N27">
    <cfRule type="cellIs" dxfId="0" priority="1" operator="lessThan">
      <formula>0</formula>
    </cfRule>
  </conditionalFormatting>
  <hyperlinks>
    <hyperlink ref="X63" r:id="rId1"/>
    <hyperlink ref="X64" r:id="rId2"/>
  </hyperlinks>
  <printOptions horizontalCentered="1" verticalCentered="1"/>
  <pageMargins left="0.75" right="0.75" top="1" bottom="1" header="0.5" footer="0.5"/>
  <headerFooter>
    <oddHeader>&amp;LSeidman I.P.O. &amp;Ras of &amp;D</oddHeader>
    <oddFooter>&amp;CSeidman I.P.O. _x000D_"Education, Experience, Opportunity"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theme="4" tint="-0.249977111117893"/>
  </sheetPr>
  <dimension ref="A1"/>
  <sheetViews>
    <sheetView topLeftCell="F19" zoomScale="80" zoomScaleNormal="80" zoomScalePageLayoutView="80" workbookViewId="0">
      <selection activeCell="U64" sqref="U64"/>
    </sheetView>
  </sheetViews>
  <sheetFormatPr baseColWidth="10" defaultColWidth="8.83203125" defaultRowHeight="13" x14ac:dyDescent="0.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4:S26"/>
  <sheetViews>
    <sheetView workbookViewId="0">
      <selection activeCell="H10" sqref="H10"/>
    </sheetView>
  </sheetViews>
  <sheetFormatPr baseColWidth="10" defaultColWidth="10.83203125" defaultRowHeight="13" x14ac:dyDescent="0.15"/>
  <cols>
    <col min="1" max="1" width="30" style="169" bestFit="1" customWidth="1"/>
    <col min="2" max="2" width="17.5" style="169" customWidth="1"/>
    <col min="3" max="16384" width="10.83203125" style="169"/>
  </cols>
  <sheetData>
    <row r="4" spans="1:19" ht="48" x14ac:dyDescent="0.15">
      <c r="A4" s="172" t="s">
        <v>140</v>
      </c>
      <c r="B4" s="172" t="s">
        <v>237</v>
      </c>
      <c r="C4" s="421" t="s">
        <v>138</v>
      </c>
      <c r="D4" s="421" t="s">
        <v>139</v>
      </c>
      <c r="E4" s="421" t="s">
        <v>141</v>
      </c>
      <c r="P4" s="170"/>
      <c r="Q4" s="170"/>
      <c r="R4" s="170"/>
      <c r="S4" s="170"/>
    </row>
    <row r="5" spans="1:19" ht="16" x14ac:dyDescent="0.15">
      <c r="A5" s="172" t="s">
        <v>89</v>
      </c>
      <c r="B5" s="418">
        <v>10.1</v>
      </c>
      <c r="C5" s="417">
        <v>5.05</v>
      </c>
      <c r="D5" s="417">
        <v>15.15</v>
      </c>
      <c r="E5" s="173">
        <v>0.10100000000000001</v>
      </c>
      <c r="P5" s="170"/>
      <c r="Q5" s="170"/>
      <c r="R5" s="170"/>
      <c r="S5" s="170"/>
    </row>
    <row r="6" spans="1:19" ht="16" x14ac:dyDescent="0.15">
      <c r="A6" s="172" t="s">
        <v>90</v>
      </c>
      <c r="B6" s="418">
        <v>11.5</v>
      </c>
      <c r="C6" s="417">
        <v>5.75</v>
      </c>
      <c r="D6" s="417">
        <v>17.25</v>
      </c>
      <c r="E6" s="173">
        <v>0.115</v>
      </c>
      <c r="P6" s="170"/>
      <c r="Q6" s="170"/>
      <c r="R6" s="170"/>
      <c r="S6" s="170"/>
    </row>
    <row r="7" spans="1:19" ht="16" x14ac:dyDescent="0.15">
      <c r="A7" s="172" t="s">
        <v>38</v>
      </c>
      <c r="B7" s="418">
        <v>10.7</v>
      </c>
      <c r="C7" s="417">
        <v>5.35</v>
      </c>
      <c r="D7" s="417">
        <v>16.05</v>
      </c>
      <c r="E7" s="173">
        <v>3.6999999999999998E-2</v>
      </c>
      <c r="P7" s="170"/>
      <c r="Q7" s="170"/>
      <c r="R7" s="170"/>
      <c r="S7" s="170"/>
    </row>
    <row r="8" spans="1:19" ht="16" x14ac:dyDescent="0.15">
      <c r="A8" s="172" t="s">
        <v>2</v>
      </c>
      <c r="B8" s="418">
        <v>16.3</v>
      </c>
      <c r="C8" s="417">
        <v>8.15</v>
      </c>
      <c r="D8" s="417">
        <v>24.45</v>
      </c>
      <c r="E8" s="173">
        <v>0.16300000000000001</v>
      </c>
      <c r="P8" s="170"/>
      <c r="Q8" s="170"/>
      <c r="R8" s="170"/>
      <c r="S8" s="170"/>
    </row>
    <row r="9" spans="1:19" ht="16" x14ac:dyDescent="0.15">
      <c r="A9" s="172" t="s">
        <v>128</v>
      </c>
      <c r="B9" s="418">
        <v>12.1</v>
      </c>
      <c r="C9" s="417">
        <v>6.05</v>
      </c>
      <c r="D9" s="417">
        <v>18.149999999999999</v>
      </c>
      <c r="E9" s="173">
        <v>0.121</v>
      </c>
      <c r="P9" s="170"/>
      <c r="Q9" s="170"/>
      <c r="R9" s="170"/>
      <c r="S9" s="170"/>
    </row>
    <row r="10" spans="1:19" ht="16" x14ac:dyDescent="0.15">
      <c r="A10" s="172" t="s">
        <v>15</v>
      </c>
      <c r="B10" s="418">
        <v>10.3</v>
      </c>
      <c r="C10" s="417">
        <v>5.15</v>
      </c>
      <c r="D10" s="417">
        <v>15.45</v>
      </c>
      <c r="E10" s="173">
        <v>0.10299999999999999</v>
      </c>
      <c r="P10" s="170"/>
      <c r="Q10" s="170"/>
      <c r="R10" s="170"/>
      <c r="S10" s="170"/>
    </row>
    <row r="11" spans="1:19" ht="16" x14ac:dyDescent="0.15">
      <c r="A11" s="172" t="s">
        <v>91</v>
      </c>
      <c r="B11" s="418">
        <v>18.8</v>
      </c>
      <c r="C11" s="417">
        <v>9.4</v>
      </c>
      <c r="D11" s="417">
        <v>28.2</v>
      </c>
      <c r="E11" s="173">
        <v>0.188</v>
      </c>
      <c r="P11" s="170"/>
      <c r="Q11" s="170"/>
      <c r="R11" s="170"/>
      <c r="S11" s="170"/>
    </row>
    <row r="12" spans="1:19" ht="16" x14ac:dyDescent="0.15">
      <c r="A12" s="172" t="s">
        <v>14</v>
      </c>
      <c r="B12" s="418">
        <v>3.4</v>
      </c>
      <c r="C12" s="417">
        <v>1.7</v>
      </c>
      <c r="D12" s="417">
        <v>5.0999999999999996</v>
      </c>
      <c r="E12" s="173">
        <v>3.4000000000000002E-2</v>
      </c>
      <c r="P12" s="170"/>
      <c r="Q12" s="170"/>
      <c r="R12" s="170"/>
      <c r="S12" s="170"/>
    </row>
    <row r="13" spans="1:19" ht="16" x14ac:dyDescent="0.15">
      <c r="A13" s="172" t="s">
        <v>39</v>
      </c>
      <c r="B13" s="418">
        <v>3</v>
      </c>
      <c r="C13" s="417">
        <v>1.5</v>
      </c>
      <c r="D13" s="417">
        <v>4.5</v>
      </c>
      <c r="E13" s="173">
        <v>0.03</v>
      </c>
      <c r="P13" s="170"/>
      <c r="Q13" s="170"/>
      <c r="R13" s="170"/>
      <c r="S13" s="170"/>
    </row>
    <row r="14" spans="1:19" ht="16" x14ac:dyDescent="0.15">
      <c r="A14" s="172" t="s">
        <v>129</v>
      </c>
      <c r="B14" s="418">
        <v>3.7</v>
      </c>
      <c r="C14" s="417">
        <v>1.85</v>
      </c>
      <c r="D14" s="417">
        <v>5.55</v>
      </c>
      <c r="E14" s="173">
        <v>3.6999999999999998E-2</v>
      </c>
      <c r="P14" s="170"/>
      <c r="Q14" s="170"/>
      <c r="R14" s="170"/>
      <c r="S14" s="170"/>
    </row>
    <row r="15" spans="1:19" ht="16" x14ac:dyDescent="0.15">
      <c r="B15" s="419">
        <f>SUM(B5:B14)</f>
        <v>99.9</v>
      </c>
      <c r="C15" s="419">
        <f>SUM(C5:C14)</f>
        <v>49.95</v>
      </c>
      <c r="D15" s="419">
        <f>SUM(D5:D14)</f>
        <v>149.85000000000002</v>
      </c>
      <c r="E15" s="420">
        <f>SUM(E5:E14)</f>
        <v>0.92900000000000016</v>
      </c>
      <c r="P15" s="170"/>
      <c r="Q15" s="170"/>
      <c r="R15" s="170"/>
      <c r="S15" s="170"/>
    </row>
    <row r="17" spans="16:17" ht="16" x14ac:dyDescent="0.15">
      <c r="P17" s="170"/>
      <c r="Q17" s="171"/>
    </row>
    <row r="18" spans="16:17" ht="16" x14ac:dyDescent="0.15">
      <c r="P18" s="170"/>
      <c r="Q18" s="171"/>
    </row>
    <row r="19" spans="16:17" ht="16" x14ac:dyDescent="0.15">
      <c r="P19" s="170"/>
      <c r="Q19" s="171"/>
    </row>
    <row r="20" spans="16:17" ht="16" x14ac:dyDescent="0.15">
      <c r="P20" s="170"/>
      <c r="Q20" s="171"/>
    </row>
    <row r="21" spans="16:17" ht="16" x14ac:dyDescent="0.15">
      <c r="P21" s="170"/>
      <c r="Q21" s="171"/>
    </row>
    <row r="22" spans="16:17" ht="16" x14ac:dyDescent="0.15">
      <c r="P22" s="170"/>
      <c r="Q22" s="171"/>
    </row>
    <row r="23" spans="16:17" ht="16" x14ac:dyDescent="0.15">
      <c r="P23" s="170"/>
      <c r="Q23" s="171"/>
    </row>
    <row r="24" spans="16:17" ht="16" x14ac:dyDescent="0.15">
      <c r="P24" s="170"/>
      <c r="Q24" s="171"/>
    </row>
    <row r="25" spans="16:17" ht="16" x14ac:dyDescent="0.15">
      <c r="P25" s="170"/>
      <c r="Q25" s="171"/>
    </row>
    <row r="26" spans="16:17" ht="16" x14ac:dyDescent="0.15">
      <c r="P26" s="170"/>
      <c r="Q26" s="171"/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000090"/>
  </sheetPr>
  <dimension ref="A1"/>
  <sheetViews>
    <sheetView topLeftCell="A4" workbookViewId="0">
      <selection activeCell="O13" sqref="O13"/>
    </sheetView>
  </sheetViews>
  <sheetFormatPr baseColWidth="10" defaultColWidth="10.83203125" defaultRowHeight="13" x14ac:dyDescent="0.15"/>
  <cols>
    <col min="1" max="16384" width="10.83203125" style="169"/>
  </cols>
  <sheetData/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54"/>
  <sheetViews>
    <sheetView topLeftCell="A9" workbookViewId="0">
      <selection activeCell="F66" sqref="F66"/>
    </sheetView>
  </sheetViews>
  <sheetFormatPr baseColWidth="10" defaultRowHeight="13" x14ac:dyDescent="0.15"/>
  <sheetData>
    <row r="4" spans="3:6" x14ac:dyDescent="0.15">
      <c r="C4" s="482" t="s">
        <v>205</v>
      </c>
      <c r="D4" s="482" t="s">
        <v>309</v>
      </c>
      <c r="E4" s="482" t="s">
        <v>310</v>
      </c>
      <c r="F4" s="482" t="s">
        <v>311</v>
      </c>
    </row>
    <row r="5" spans="3:6" x14ac:dyDescent="0.15">
      <c r="C5" s="390">
        <v>67976.160000000003</v>
      </c>
      <c r="D5" s="369">
        <v>2043.94</v>
      </c>
      <c r="E5" t="s">
        <v>312</v>
      </c>
      <c r="F5" t="s">
        <v>312</v>
      </c>
    </row>
    <row r="6" spans="3:6" x14ac:dyDescent="0.15">
      <c r="C6" s="390">
        <v>65357.02</v>
      </c>
      <c r="D6" s="369">
        <v>1943.09</v>
      </c>
      <c r="E6" s="483">
        <f>(C6/C5)-1</f>
        <v>-3.8530272966287082E-2</v>
      </c>
      <c r="F6" s="483">
        <f>D6/D5-1</f>
        <v>-4.9340978698004911E-2</v>
      </c>
    </row>
    <row r="7" spans="3:6" x14ac:dyDescent="0.15">
      <c r="C7" s="390">
        <v>63661.599999999999</v>
      </c>
      <c r="D7" s="369">
        <v>1921.84</v>
      </c>
      <c r="E7" s="483">
        <f t="shared" ref="E7:E54" si="0">(C7/C6)-1</f>
        <v>-2.5940901222240575E-2</v>
      </c>
      <c r="F7" s="483">
        <f t="shared" ref="F7:F54" si="1">D7/D6-1</f>
        <v>-1.0936189265551288E-2</v>
      </c>
    </row>
    <row r="8" spans="3:6" x14ac:dyDescent="0.15">
      <c r="C8" s="390">
        <v>62568.12</v>
      </c>
      <c r="D8" s="369">
        <v>1868.99</v>
      </c>
      <c r="E8" s="483">
        <f t="shared" si="0"/>
        <v>-1.7176445455345024E-2</v>
      </c>
      <c r="F8" s="483">
        <f t="shared" si="1"/>
        <v>-2.7499687799192429E-2</v>
      </c>
    </row>
    <row r="9" spans="3:6" x14ac:dyDescent="0.15">
      <c r="C9" s="390">
        <v>62585.01</v>
      </c>
      <c r="D9" s="369">
        <v>1893.36</v>
      </c>
      <c r="E9" s="483">
        <f t="shared" si="0"/>
        <v>2.6994578069472475E-4</v>
      </c>
      <c r="F9" s="483">
        <f t="shared" si="1"/>
        <v>1.3039128085222451E-2</v>
      </c>
    </row>
    <row r="10" spans="3:6" x14ac:dyDescent="0.15">
      <c r="C10" s="390">
        <v>62726.843959999991</v>
      </c>
      <c r="D10" s="369">
        <v>1915.45</v>
      </c>
      <c r="E10" s="483">
        <f t="shared" si="0"/>
        <v>2.2662608825978481E-3</v>
      </c>
      <c r="F10" s="483">
        <f t="shared" si="1"/>
        <v>1.1667089195926961E-2</v>
      </c>
    </row>
    <row r="11" spans="3:6" x14ac:dyDescent="0.15">
      <c r="C11" s="390">
        <v>62015.266780000005</v>
      </c>
      <c r="D11" s="369">
        <v>1828.57</v>
      </c>
      <c r="E11" s="483">
        <f t="shared" si="0"/>
        <v>-1.1344061570413899E-2</v>
      </c>
      <c r="F11" s="483">
        <f t="shared" si="1"/>
        <v>-4.5357487796601426E-2</v>
      </c>
    </row>
    <row r="12" spans="3:6" x14ac:dyDescent="0.15">
      <c r="C12" s="390">
        <v>65198.36</v>
      </c>
      <c r="D12" s="369">
        <v>1917.83</v>
      </c>
      <c r="E12" s="483">
        <f t="shared" si="0"/>
        <v>5.1327574406670795E-2</v>
      </c>
      <c r="F12" s="483">
        <f t="shared" si="1"/>
        <v>4.88141006360161E-2</v>
      </c>
    </row>
    <row r="13" spans="3:6" x14ac:dyDescent="0.15">
      <c r="C13" s="390">
        <v>66336.852479999987</v>
      </c>
      <c r="D13" s="369">
        <v>1951.7</v>
      </c>
      <c r="E13" s="483">
        <f t="shared" si="0"/>
        <v>1.7461980332020399E-2</v>
      </c>
      <c r="F13" s="483">
        <f t="shared" si="1"/>
        <v>1.7660585140497398E-2</v>
      </c>
    </row>
    <row r="14" spans="3:6" x14ac:dyDescent="0.15">
      <c r="C14" s="390">
        <v>67383.63132</v>
      </c>
      <c r="D14" s="369">
        <v>1993.36</v>
      </c>
      <c r="E14" s="483">
        <f t="shared" si="0"/>
        <v>1.5779748373132563E-2</v>
      </c>
      <c r="F14" s="483">
        <f t="shared" si="1"/>
        <v>2.134549367218308E-2</v>
      </c>
    </row>
    <row r="15" spans="3:6" x14ac:dyDescent="0.15">
      <c r="C15" s="390">
        <v>67086.398979999998</v>
      </c>
      <c r="D15" s="369">
        <v>1975.92</v>
      </c>
      <c r="E15" s="483">
        <f t="shared" si="0"/>
        <v>-4.4110466322075936E-3</v>
      </c>
      <c r="F15" s="483">
        <f t="shared" si="1"/>
        <v>-8.7490468354937123E-3</v>
      </c>
    </row>
    <row r="16" spans="3:6" x14ac:dyDescent="0.15">
      <c r="C16" s="390">
        <v>68347.006759999989</v>
      </c>
      <c r="D16" s="369">
        <v>2040.59</v>
      </c>
      <c r="E16" s="483">
        <f t="shared" si="0"/>
        <v>1.8790810047440543E-2</v>
      </c>
      <c r="F16" s="483">
        <f t="shared" si="1"/>
        <v>3.2729057856593302E-2</v>
      </c>
    </row>
    <row r="17" spans="3:6" x14ac:dyDescent="0.15">
      <c r="C17" s="390">
        <v>67491.638579999999</v>
      </c>
      <c r="D17" s="369">
        <v>2035.98</v>
      </c>
      <c r="E17" s="483">
        <f t="shared" si="0"/>
        <v>-1.2515078868100438E-2</v>
      </c>
      <c r="F17" s="483">
        <f t="shared" si="1"/>
        <v>-2.259150539794863E-3</v>
      </c>
    </row>
    <row r="18" spans="3:6" x14ac:dyDescent="0.15">
      <c r="C18" s="390">
        <v>67993.540599999993</v>
      </c>
      <c r="D18" s="369">
        <v>2059.7399999999998</v>
      </c>
      <c r="E18" s="483">
        <f t="shared" si="0"/>
        <v>7.4365066630450727E-3</v>
      </c>
      <c r="F18" s="483">
        <f t="shared" si="1"/>
        <v>1.1670055697992954E-2</v>
      </c>
    </row>
    <row r="19" spans="3:6" x14ac:dyDescent="0.15">
      <c r="C19" s="390">
        <v>67186.083600000013</v>
      </c>
      <c r="D19" s="369">
        <v>2041.91</v>
      </c>
      <c r="E19" s="483">
        <f t="shared" si="0"/>
        <v>-1.1875495714367634E-2</v>
      </c>
      <c r="F19" s="483">
        <f t="shared" si="1"/>
        <v>-8.6564323652498221E-3</v>
      </c>
    </row>
    <row r="20" spans="3:6" x14ac:dyDescent="0.15">
      <c r="C20" s="390">
        <v>67608.944400000008</v>
      </c>
      <c r="D20" s="369">
        <v>2082.54</v>
      </c>
      <c r="E20" s="483">
        <f t="shared" si="0"/>
        <v>6.2938748226126773E-3</v>
      </c>
      <c r="F20" s="483">
        <f t="shared" si="1"/>
        <v>1.9898036642163497E-2</v>
      </c>
    </row>
    <row r="21" spans="3:6" x14ac:dyDescent="0.15">
      <c r="C21" s="390">
        <v>67607.602039999998</v>
      </c>
      <c r="D21" s="369">
        <v>2091.48</v>
      </c>
      <c r="E21" s="483">
        <f t="shared" si="0"/>
        <v>-1.985476939359021E-5</v>
      </c>
      <c r="F21" s="483">
        <f t="shared" si="1"/>
        <v>4.2928347114581378E-3</v>
      </c>
    </row>
    <row r="22" spans="3:6" x14ac:dyDescent="0.15">
      <c r="C22" s="390">
        <v>67469.601839999988</v>
      </c>
      <c r="D22" s="369">
        <v>2075.81</v>
      </c>
      <c r="E22" s="483">
        <f t="shared" si="0"/>
        <v>-2.0411935320285846E-3</v>
      </c>
      <c r="F22" s="483">
        <f t="shared" si="1"/>
        <v>-7.4923021018609148E-3</v>
      </c>
    </row>
    <row r="23" spans="3:6" x14ac:dyDescent="0.15">
      <c r="C23" s="390">
        <v>66607.853820000018</v>
      </c>
      <c r="D23" s="369">
        <v>2050.63</v>
      </c>
      <c r="E23" s="483">
        <f t="shared" si="0"/>
        <v>-1.277238929086244E-2</v>
      </c>
      <c r="F23" s="483">
        <f t="shared" si="1"/>
        <v>-1.2130204594832827E-2</v>
      </c>
    </row>
    <row r="24" spans="3:6" x14ac:dyDescent="0.15">
      <c r="C24" s="390">
        <v>66578.210160000002</v>
      </c>
      <c r="D24" s="369">
        <v>2064.11</v>
      </c>
      <c r="E24" s="483">
        <f t="shared" si="0"/>
        <v>-4.4504751767149298E-4</v>
      </c>
      <c r="F24" s="483">
        <f t="shared" si="1"/>
        <v>6.5735895797875976E-3</v>
      </c>
    </row>
    <row r="25" spans="3:6" x14ac:dyDescent="0.15">
      <c r="C25" s="390">
        <v>66048.957220000011</v>
      </c>
      <c r="D25" s="369">
        <v>2040.04</v>
      </c>
      <c r="E25" s="483">
        <f t="shared" si="0"/>
        <v>-7.9493416649095705E-3</v>
      </c>
      <c r="F25" s="483">
        <f t="shared" si="1"/>
        <v>-1.1661200226732227E-2</v>
      </c>
    </row>
    <row r="26" spans="3:6" x14ac:dyDescent="0.15">
      <c r="C26" s="390">
        <v>66956.230279999989</v>
      </c>
      <c r="D26" s="369">
        <v>2090.1</v>
      </c>
      <c r="E26" s="483">
        <f t="shared" si="0"/>
        <v>1.3736372203091429E-2</v>
      </c>
      <c r="F26" s="483">
        <f t="shared" si="1"/>
        <v>2.4538734534616857E-2</v>
      </c>
    </row>
    <row r="27" spans="3:6" x14ac:dyDescent="0.15">
      <c r="C27" s="390">
        <v>66746.788060000006</v>
      </c>
      <c r="D27" s="369">
        <v>2105.2600000000002</v>
      </c>
      <c r="E27" s="483">
        <f t="shared" si="0"/>
        <v>-3.1280467721096494E-3</v>
      </c>
      <c r="F27" s="483">
        <f t="shared" si="1"/>
        <v>7.2532414717001448E-3</v>
      </c>
    </row>
    <row r="28" spans="3:6" x14ac:dyDescent="0.15">
      <c r="C28" s="390">
        <v>66450.907460000002</v>
      </c>
      <c r="D28" s="369">
        <v>2115.48</v>
      </c>
      <c r="E28" s="483">
        <f t="shared" si="0"/>
        <v>-4.4328814704016617E-3</v>
      </c>
      <c r="F28" s="483">
        <f t="shared" si="1"/>
        <v>4.8545072817607338E-3</v>
      </c>
    </row>
    <row r="29" spans="3:6" x14ac:dyDescent="0.15">
      <c r="C29" s="390">
        <v>65737.518160000007</v>
      </c>
      <c r="D29" s="369">
        <v>2077.9899999999998</v>
      </c>
      <c r="E29" s="483">
        <f t="shared" si="0"/>
        <v>-1.0735584016356992E-2</v>
      </c>
      <c r="F29" s="483">
        <f t="shared" si="1"/>
        <v>-1.7721746364891322E-2</v>
      </c>
    </row>
    <row r="30" spans="3:6" x14ac:dyDescent="0.15">
      <c r="C30" s="390">
        <v>66557.505559999991</v>
      </c>
      <c r="D30" s="369">
        <v>2113.3200000000002</v>
      </c>
      <c r="E30" s="483">
        <f t="shared" si="0"/>
        <v>1.2473659227660416E-2</v>
      </c>
      <c r="F30" s="483">
        <f t="shared" si="1"/>
        <v>1.7002006746904552E-2</v>
      </c>
    </row>
    <row r="31" spans="3:6" x14ac:dyDescent="0.15">
      <c r="C31" s="390">
        <v>66679.961040000009</v>
      </c>
      <c r="D31" s="369">
        <v>2098.86</v>
      </c>
      <c r="E31" s="483">
        <f t="shared" si="0"/>
        <v>1.8398447924048433E-3</v>
      </c>
      <c r="F31" s="483">
        <f t="shared" si="1"/>
        <v>-6.8423144625517907E-3</v>
      </c>
    </row>
    <row r="32" spans="3:6" x14ac:dyDescent="0.15">
      <c r="C32" s="390">
        <v>66523.892460000003</v>
      </c>
      <c r="D32" s="369">
        <v>2097.9</v>
      </c>
      <c r="E32" s="483">
        <f t="shared" si="0"/>
        <v>-2.3405619554334178E-3</v>
      </c>
      <c r="F32" s="483">
        <f t="shared" si="1"/>
        <v>-4.573911551986054E-4</v>
      </c>
    </row>
    <row r="33" spans="3:6" x14ac:dyDescent="0.15">
      <c r="C33" s="390">
        <v>67908.847580000001</v>
      </c>
      <c r="D33" s="369">
        <v>2163.75</v>
      </c>
      <c r="E33" s="483">
        <f t="shared" si="0"/>
        <v>2.0818912856501282E-2</v>
      </c>
      <c r="F33" s="483">
        <f t="shared" si="1"/>
        <v>3.1388531388531371E-2</v>
      </c>
    </row>
    <row r="34" spans="3:6" x14ac:dyDescent="0.15">
      <c r="C34" s="390">
        <v>67826.989860000001</v>
      </c>
      <c r="D34" s="369">
        <v>2165.17</v>
      </c>
      <c r="E34" s="483">
        <f t="shared" si="0"/>
        <v>-1.2054058184917116E-3</v>
      </c>
      <c r="F34" s="483">
        <f t="shared" si="1"/>
        <v>6.5626805314855652E-4</v>
      </c>
    </row>
    <row r="35" spans="3:6" x14ac:dyDescent="0.15">
      <c r="C35" s="390">
        <v>68088.76182</v>
      </c>
      <c r="D35" s="369">
        <v>2170.06</v>
      </c>
      <c r="E35" s="483">
        <f t="shared" si="0"/>
        <v>3.8594070080408827E-3</v>
      </c>
      <c r="F35" s="483">
        <f t="shared" si="1"/>
        <v>2.2584831676033534E-3</v>
      </c>
    </row>
    <row r="36" spans="3:6" x14ac:dyDescent="0.15">
      <c r="C36" s="390">
        <v>67976.350980000017</v>
      </c>
      <c r="D36" s="369">
        <v>2164.37</v>
      </c>
      <c r="E36" s="483">
        <f t="shared" si="0"/>
        <v>-1.6509455745009616E-3</v>
      </c>
      <c r="F36" s="483">
        <f t="shared" si="1"/>
        <v>-2.6220473166640446E-3</v>
      </c>
    </row>
    <row r="37" spans="3:6" x14ac:dyDescent="0.15">
      <c r="C37" s="390">
        <v>68481.260160000005</v>
      </c>
      <c r="D37" s="369">
        <v>2185.7600000000002</v>
      </c>
      <c r="E37" s="483">
        <f t="shared" si="0"/>
        <v>7.4277182096540439E-3</v>
      </c>
      <c r="F37" s="483">
        <f t="shared" si="1"/>
        <v>9.8827834427570593E-3</v>
      </c>
    </row>
    <row r="38" spans="3:6" x14ac:dyDescent="0.15">
      <c r="C38" s="390">
        <v>68377.120820000011</v>
      </c>
      <c r="D38" s="369">
        <v>2187.02</v>
      </c>
      <c r="E38" s="483">
        <f t="shared" si="0"/>
        <v>-1.5206983597656487E-3</v>
      </c>
      <c r="F38" s="483">
        <f t="shared" si="1"/>
        <v>5.7645853158616589E-4</v>
      </c>
    </row>
    <row r="39" spans="3:6" x14ac:dyDescent="0.15">
      <c r="C39" s="390">
        <v>68453.171579999995</v>
      </c>
      <c r="D39" s="369">
        <v>2172.4699999999998</v>
      </c>
      <c r="E39" s="483">
        <f t="shared" si="0"/>
        <v>1.112225245637033E-3</v>
      </c>
      <c r="F39" s="483">
        <f t="shared" si="1"/>
        <v>-6.6528884052272641E-3</v>
      </c>
    </row>
    <row r="40" spans="3:6" x14ac:dyDescent="0.15">
      <c r="C40" s="390">
        <v>69318.902020000009</v>
      </c>
      <c r="D40" s="369">
        <v>2186.48</v>
      </c>
      <c r="E40" s="483">
        <f t="shared" si="0"/>
        <v>1.2647046440912524E-2</v>
      </c>
      <c r="F40" s="483">
        <f t="shared" si="1"/>
        <v>6.4488807670532999E-3</v>
      </c>
    </row>
    <row r="41" spans="3:6" x14ac:dyDescent="0.15">
      <c r="C41" s="390">
        <v>69364.042569999991</v>
      </c>
      <c r="D41" s="369">
        <v>2181.3000000000002</v>
      </c>
      <c r="E41" s="483">
        <f t="shared" si="0"/>
        <v>6.512011685781971E-4</v>
      </c>
      <c r="F41" s="483">
        <f t="shared" si="1"/>
        <v>-2.3691046796676662E-3</v>
      </c>
    </row>
    <row r="42" spans="3:6" x14ac:dyDescent="0.15">
      <c r="C42" s="390">
        <v>68746.858730000007</v>
      </c>
      <c r="D42" s="369">
        <v>2147.2600000000002</v>
      </c>
      <c r="E42" s="483">
        <f t="shared" si="0"/>
        <v>-8.8977489940431642E-3</v>
      </c>
      <c r="F42" s="483">
        <f t="shared" si="1"/>
        <v>-1.5605372942740559E-2</v>
      </c>
    </row>
    <row r="43" spans="3:6" x14ac:dyDescent="0.15">
      <c r="C43" s="390">
        <v>69559.593970000002</v>
      </c>
      <c r="D43" s="369">
        <v>2177.1799999999998</v>
      </c>
      <c r="E43" s="483">
        <f t="shared" si="0"/>
        <v>1.1822143658839268E-2</v>
      </c>
      <c r="F43" s="483">
        <f t="shared" si="1"/>
        <v>1.3934036865586696E-2</v>
      </c>
    </row>
    <row r="44" spans="3:6" x14ac:dyDescent="0.15">
      <c r="C44" s="390">
        <v>69044.47073999999</v>
      </c>
      <c r="D44" s="369">
        <v>2151.13</v>
      </c>
      <c r="E44" s="483">
        <f t="shared" si="0"/>
        <v>-7.4054950668943631E-3</v>
      </c>
      <c r="F44" s="483">
        <f t="shared" si="1"/>
        <v>-1.1965018969492536E-2</v>
      </c>
    </row>
    <row r="45" spans="3:6" x14ac:dyDescent="0.15">
      <c r="C45" s="390">
        <v>69443.870759999991</v>
      </c>
      <c r="D45" s="369">
        <v>2160.77</v>
      </c>
      <c r="E45" s="483">
        <f t="shared" si="0"/>
        <v>5.7846778419667899E-3</v>
      </c>
      <c r="F45" s="483">
        <f t="shared" si="1"/>
        <v>4.4813656078432906E-3</v>
      </c>
    </row>
    <row r="46" spans="3:6" x14ac:dyDescent="0.15">
      <c r="C46" s="390">
        <v>68165.274269999994</v>
      </c>
      <c r="D46" s="369">
        <v>2204.7199999999998</v>
      </c>
      <c r="E46" s="483">
        <f t="shared" si="0"/>
        <v>-1.8411941558080236E-2</v>
      </c>
      <c r="F46" s="483">
        <f t="shared" si="1"/>
        <v>2.0339971399084611E-2</v>
      </c>
    </row>
    <row r="47" spans="3:6" x14ac:dyDescent="0.15">
      <c r="C47" s="390">
        <v>67290.31667</v>
      </c>
      <c r="D47" s="369">
        <v>2191.08</v>
      </c>
      <c r="E47" s="483">
        <f t="shared" si="0"/>
        <v>-1.2835826003344764E-2</v>
      </c>
      <c r="F47" s="483">
        <f t="shared" si="1"/>
        <v>-6.1867266591675296E-3</v>
      </c>
    </row>
    <row r="48" spans="3:6" x14ac:dyDescent="0.15">
      <c r="C48" s="390">
        <v>69060.329310000001</v>
      </c>
      <c r="D48" s="369">
        <v>2246.19</v>
      </c>
      <c r="E48" s="483">
        <f t="shared" si="0"/>
        <v>2.6304121121622392E-2</v>
      </c>
      <c r="F48" s="483">
        <f t="shared" si="1"/>
        <v>2.5151979845555728E-2</v>
      </c>
    </row>
    <row r="49" spans="3:6" x14ac:dyDescent="0.15">
      <c r="C49" s="390">
        <v>69446.007450000005</v>
      </c>
      <c r="D49" s="369">
        <v>2262.0300000000002</v>
      </c>
      <c r="E49" s="483">
        <f t="shared" si="0"/>
        <v>5.5846553854204117E-3</v>
      </c>
      <c r="F49" s="483">
        <f t="shared" si="1"/>
        <v>7.0519412872465104E-3</v>
      </c>
    </row>
    <row r="50" spans="3:6" x14ac:dyDescent="0.15">
      <c r="C50" s="390">
        <v>69182.941690000007</v>
      </c>
      <c r="D50" s="369">
        <v>2260.96</v>
      </c>
      <c r="E50" s="483">
        <f t="shared" si="0"/>
        <v>-3.7880616850349824E-3</v>
      </c>
      <c r="F50" s="483">
        <f t="shared" si="1"/>
        <v>-4.7302644085189804E-4</v>
      </c>
    </row>
    <row r="51" spans="3:6" x14ac:dyDescent="0.15">
      <c r="C51" s="390">
        <v>68943.256329999975</v>
      </c>
      <c r="D51" s="369">
        <v>2249.2600000000002</v>
      </c>
      <c r="E51" s="483">
        <f t="shared" si="0"/>
        <v>-3.4645153002315077E-3</v>
      </c>
      <c r="F51" s="483">
        <f t="shared" si="1"/>
        <v>-5.1747930082796101E-3</v>
      </c>
    </row>
    <row r="52" spans="3:6" x14ac:dyDescent="0.15">
      <c r="C52" s="390">
        <v>69227.478260000004</v>
      </c>
      <c r="D52" s="369">
        <v>2269</v>
      </c>
      <c r="E52" s="483">
        <f t="shared" si="0"/>
        <v>4.1225486745155582E-3</v>
      </c>
      <c r="F52" s="483">
        <f t="shared" si="1"/>
        <v>8.7762197344902759E-3</v>
      </c>
    </row>
    <row r="53" spans="3:6" x14ac:dyDescent="0.15">
      <c r="C53" s="390">
        <v>69685.396139999997</v>
      </c>
      <c r="D53" s="369">
        <v>2270.44</v>
      </c>
      <c r="E53" s="483">
        <f t="shared" si="0"/>
        <v>6.6146838150045184E-3</v>
      </c>
      <c r="F53" s="483">
        <f t="shared" si="1"/>
        <v>6.3464081092989844E-4</v>
      </c>
    </row>
    <row r="54" spans="3:6" x14ac:dyDescent="0.15">
      <c r="C54" s="390">
        <v>69576.497490000009</v>
      </c>
      <c r="D54" s="369">
        <v>2263.69</v>
      </c>
      <c r="E54" s="483">
        <f t="shared" si="0"/>
        <v>-1.5627183891041563E-3</v>
      </c>
      <c r="F54" s="483">
        <f t="shared" si="1"/>
        <v>-2.9729920191681192E-3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00B0F0"/>
  </sheetPr>
  <dimension ref="B2:O27"/>
  <sheetViews>
    <sheetView workbookViewId="0">
      <selection activeCell="P17" sqref="P17"/>
    </sheetView>
  </sheetViews>
  <sheetFormatPr baseColWidth="10" defaultColWidth="9.1640625" defaultRowHeight="16" x14ac:dyDescent="0.2"/>
  <cols>
    <col min="1" max="1" width="2.83203125" style="287" customWidth="1"/>
    <col min="2" max="2" width="0.6640625" style="287" customWidth="1"/>
    <col min="3" max="3" width="23.6640625" style="287" bestFit="1" customWidth="1"/>
    <col min="4" max="4" width="12.5" style="287" bestFit="1" customWidth="1"/>
    <col min="5" max="5" width="12.83203125" style="287" bestFit="1" customWidth="1"/>
    <col min="6" max="6" width="16" style="287" bestFit="1" customWidth="1"/>
    <col min="7" max="7" width="10.5" style="287" hidden="1" customWidth="1"/>
    <col min="8" max="8" width="8.6640625" style="287" hidden="1" customWidth="1"/>
    <col min="9" max="9" width="11.5" style="287" hidden="1" customWidth="1"/>
    <col min="10" max="10" width="14.5" style="287" bestFit="1" customWidth="1"/>
    <col min="11" max="11" width="10.5" style="287" hidden="1" customWidth="1"/>
    <col min="12" max="12" width="13.5" style="287" hidden="1" customWidth="1"/>
    <col min="13" max="13" width="14.5" style="287" hidden="1" customWidth="1"/>
    <col min="14" max="14" width="10.5" style="287" hidden="1" customWidth="1"/>
    <col min="15" max="15" width="0.6640625" style="287" customWidth="1"/>
    <col min="16" max="16384" width="9.1640625" style="287"/>
  </cols>
  <sheetData>
    <row r="2" spans="2:15" ht="3.75" customHeight="1" x14ac:dyDescent="0.2"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2:15" ht="26" x14ac:dyDescent="0.3">
      <c r="B3" s="286"/>
      <c r="C3" s="503" t="s">
        <v>246</v>
      </c>
      <c r="D3" s="503"/>
      <c r="E3" s="503"/>
      <c r="F3" s="503"/>
      <c r="G3" s="503"/>
      <c r="H3" s="503"/>
      <c r="I3" s="503"/>
      <c r="J3" s="503"/>
      <c r="K3" s="289"/>
      <c r="L3" s="289"/>
      <c r="M3" s="289"/>
      <c r="N3" s="289"/>
      <c r="O3" s="289"/>
    </row>
    <row r="4" spans="2:15" ht="32" x14ac:dyDescent="0.2">
      <c r="B4" s="286"/>
      <c r="C4" s="288" t="s">
        <v>197</v>
      </c>
      <c r="D4" s="288" t="s">
        <v>109</v>
      </c>
      <c r="E4" s="288" t="s">
        <v>59</v>
      </c>
      <c r="F4" s="288" t="s">
        <v>242</v>
      </c>
      <c r="G4" s="426" t="s">
        <v>160</v>
      </c>
      <c r="H4" s="288"/>
      <c r="I4" s="427" t="s">
        <v>164</v>
      </c>
      <c r="J4" s="425" t="s">
        <v>239</v>
      </c>
      <c r="K4" s="425" t="s">
        <v>241</v>
      </c>
      <c r="L4" s="425" t="s">
        <v>238</v>
      </c>
      <c r="M4" s="425" t="s">
        <v>225</v>
      </c>
      <c r="N4" s="425" t="s">
        <v>240</v>
      </c>
      <c r="O4" s="289"/>
    </row>
    <row r="5" spans="2:15" x14ac:dyDescent="0.2">
      <c r="B5" s="286"/>
      <c r="C5" s="290" t="e">
        <f>Holdings!#REF!</f>
        <v>#REF!</v>
      </c>
      <c r="D5" s="422" t="e">
        <f>IF(Holdings!#REF!=0,"NA",Holdings!#REF!)</f>
        <v>#REF!</v>
      </c>
      <c r="E5" s="424" t="e">
        <f>Holdings!#REF!</f>
        <v>#REF!</v>
      </c>
      <c r="F5" s="423" t="e">
        <f>Holdings!#REF!</f>
        <v>#REF!</v>
      </c>
      <c r="G5" s="291" t="e">
        <f>Holdings!#REF!</f>
        <v>#REF!</v>
      </c>
      <c r="H5" s="291" t="e">
        <f t="shared" ref="H5:H23" si="0">(F5*G5)</f>
        <v>#REF!</v>
      </c>
      <c r="I5" s="291" t="e">
        <f>Holdings!#REF!</f>
        <v>#REF!</v>
      </c>
      <c r="J5" s="291" t="e">
        <f>Holdings!#REF!</f>
        <v>#REF!</v>
      </c>
      <c r="K5" s="291" t="e">
        <f>Holdings!#REF!</f>
        <v>#REF!</v>
      </c>
      <c r="L5" s="291" t="e">
        <f>($E5/Holdings!#REF!)-1</f>
        <v>#REF!</v>
      </c>
      <c r="M5" s="291" t="e">
        <f>Holdings!#REF!</f>
        <v>#REF!</v>
      </c>
      <c r="N5" s="291" t="e">
        <f>($E5/Holdings!#REF!)-1</f>
        <v>#REF!</v>
      </c>
      <c r="O5" s="289"/>
    </row>
    <row r="6" spans="2:15" x14ac:dyDescent="0.2">
      <c r="B6" s="286"/>
      <c r="C6" s="290" t="e">
        <f>Holdings!#REF!</f>
        <v>#REF!</v>
      </c>
      <c r="D6" s="422" t="e">
        <f>IF(Holdings!#REF!=0,"NA",Holdings!#REF!)</f>
        <v>#REF!</v>
      </c>
      <c r="E6" s="424" t="e">
        <f>Holdings!#REF!</f>
        <v>#REF!</v>
      </c>
      <c r="F6" s="423" t="e">
        <f>Holdings!#REF!</f>
        <v>#REF!</v>
      </c>
      <c r="G6" s="291" t="e">
        <f>Holdings!#REF!</f>
        <v>#REF!</v>
      </c>
      <c r="H6" s="291" t="e">
        <f t="shared" si="0"/>
        <v>#REF!</v>
      </c>
      <c r="I6" s="291" t="e">
        <f>Holdings!#REF!</f>
        <v>#REF!</v>
      </c>
      <c r="J6" s="291" t="e">
        <f>Holdings!#REF!</f>
        <v>#REF!</v>
      </c>
      <c r="K6" s="291" t="e">
        <f>Holdings!#REF!</f>
        <v>#REF!</v>
      </c>
      <c r="L6" s="291" t="e">
        <f>($E6/Holdings!#REF!)-1</f>
        <v>#REF!</v>
      </c>
      <c r="M6" s="291" t="e">
        <f>Holdings!#REF!</f>
        <v>#REF!</v>
      </c>
      <c r="N6" s="291" t="e">
        <f>($E6/Holdings!#REF!)-1</f>
        <v>#REF!</v>
      </c>
      <c r="O6" s="292"/>
    </row>
    <row r="7" spans="2:15" x14ac:dyDescent="0.2">
      <c r="B7" s="286"/>
      <c r="C7" s="290" t="e">
        <f>Holdings!#REF!</f>
        <v>#REF!</v>
      </c>
      <c r="D7" s="422" t="e">
        <f>IF(Holdings!#REF!=0,"NA",Holdings!#REF!)</f>
        <v>#REF!</v>
      </c>
      <c r="E7" s="424" t="e">
        <f>Holdings!#REF!</f>
        <v>#REF!</v>
      </c>
      <c r="F7" s="423" t="e">
        <f>Holdings!#REF!</f>
        <v>#REF!</v>
      </c>
      <c r="G7" s="291" t="e">
        <f>Holdings!#REF!</f>
        <v>#REF!</v>
      </c>
      <c r="H7" s="291" t="e">
        <f t="shared" si="0"/>
        <v>#REF!</v>
      </c>
      <c r="I7" s="291" t="e">
        <f>Holdings!#REF!</f>
        <v>#REF!</v>
      </c>
      <c r="J7" s="291" t="e">
        <f>Holdings!#REF!</f>
        <v>#REF!</v>
      </c>
      <c r="K7" s="291" t="e">
        <f>Holdings!#REF!</f>
        <v>#REF!</v>
      </c>
      <c r="L7" s="291" t="e">
        <f>($E7/Holdings!#REF!)-1</f>
        <v>#REF!</v>
      </c>
      <c r="M7" s="291" t="e">
        <f>Holdings!#REF!</f>
        <v>#REF!</v>
      </c>
      <c r="N7" s="291" t="e">
        <f>($E7/Holdings!#REF!)-1</f>
        <v>#REF!</v>
      </c>
      <c r="O7" s="292"/>
    </row>
    <row r="8" spans="2:15" x14ac:dyDescent="0.2">
      <c r="B8" s="286"/>
      <c r="C8" s="290" t="str">
        <f>Holdings!C14</f>
        <v>Disney</v>
      </c>
      <c r="D8" s="422" t="e">
        <f>IF(Holdings!#REF!=0,"NA",Holdings!#REF!)</f>
        <v>#REF!</v>
      </c>
      <c r="E8" s="424">
        <f>Holdings!I14</f>
        <v>2680.4902599999996</v>
      </c>
      <c r="F8" s="423">
        <f>Holdings!U14</f>
        <v>3.5741459088997285E-2</v>
      </c>
      <c r="G8" s="291">
        <f>Holdings!S14</f>
        <v>0</v>
      </c>
      <c r="H8" s="291">
        <f t="shared" si="0"/>
        <v>0</v>
      </c>
      <c r="I8" s="291">
        <f>Holdings!R14</f>
        <v>1.5397674320624777E-2</v>
      </c>
      <c r="J8" s="291">
        <f>Holdings!Q14</f>
        <v>1.5397674320624777E-2</v>
      </c>
      <c r="K8" s="291" t="e">
        <f>Holdings!#REF!</f>
        <v>#REF!</v>
      </c>
      <c r="L8" s="291">
        <f>($E8/Holdings!L14)-1</f>
        <v>-0.26106402205375612</v>
      </c>
      <c r="M8" s="291" t="e">
        <f>Holdings!#REF!</f>
        <v>#REF!</v>
      </c>
      <c r="N8" s="291">
        <f>(($E8/Holdings!K14)-1)*(2/3)</f>
        <v>-0.17404268136917073</v>
      </c>
      <c r="O8" s="292"/>
    </row>
    <row r="9" spans="2:15" x14ac:dyDescent="0.2">
      <c r="B9" s="286"/>
      <c r="C9" s="290" t="e">
        <f>Holdings!#REF!</f>
        <v>#REF!</v>
      </c>
      <c r="D9" s="422" t="e">
        <f>IF(Holdings!#REF!=0,"NA",Holdings!#REF!)</f>
        <v>#REF!</v>
      </c>
      <c r="E9" s="424" t="e">
        <f>Holdings!#REF!</f>
        <v>#REF!</v>
      </c>
      <c r="F9" s="423" t="e">
        <f>Holdings!#REF!</f>
        <v>#REF!</v>
      </c>
      <c r="G9" s="291" t="e">
        <f>Holdings!#REF!</f>
        <v>#REF!</v>
      </c>
      <c r="H9" s="291" t="e">
        <f t="shared" si="0"/>
        <v>#REF!</v>
      </c>
      <c r="I9" s="291" t="e">
        <f>Holdings!#REF!</f>
        <v>#REF!</v>
      </c>
      <c r="J9" s="291" t="e">
        <f>Holdings!#REF!</f>
        <v>#REF!</v>
      </c>
      <c r="K9" s="291" t="e">
        <f>Holdings!#REF!</f>
        <v>#REF!</v>
      </c>
      <c r="L9" s="291" t="e">
        <f>($E9/Holdings!#REF!)-1</f>
        <v>#REF!</v>
      </c>
      <c r="M9" s="291" t="e">
        <f>Holdings!#REF!</f>
        <v>#REF!</v>
      </c>
      <c r="N9" s="291" t="e">
        <f>($E9/Holdings!#REF!)-1</f>
        <v>#REF!</v>
      </c>
      <c r="O9" s="292"/>
    </row>
    <row r="10" spans="2:15" x14ac:dyDescent="0.2">
      <c r="B10" s="286"/>
      <c r="C10" s="290" t="e">
        <f>Holdings!#REF!</f>
        <v>#REF!</v>
      </c>
      <c r="D10" s="422" t="e">
        <f>IF(Holdings!#REF!=0,"NA",Holdings!#REF!)</f>
        <v>#REF!</v>
      </c>
      <c r="E10" s="424" t="e">
        <f>Holdings!#REF!</f>
        <v>#REF!</v>
      </c>
      <c r="F10" s="423" t="e">
        <f>Holdings!#REF!</f>
        <v>#REF!</v>
      </c>
      <c r="G10" s="291" t="e">
        <f>Holdings!#REF!</f>
        <v>#REF!</v>
      </c>
      <c r="H10" s="291" t="e">
        <f t="shared" si="0"/>
        <v>#REF!</v>
      </c>
      <c r="I10" s="291" t="e">
        <f>Holdings!#REF!</f>
        <v>#REF!</v>
      </c>
      <c r="J10" s="291" t="e">
        <f>Holdings!#REF!</f>
        <v>#REF!</v>
      </c>
      <c r="K10" s="291" t="e">
        <f>Holdings!#REF!</f>
        <v>#REF!</v>
      </c>
      <c r="L10" s="291" t="e">
        <f>($E10/Holdings!#REF!)-1</f>
        <v>#REF!</v>
      </c>
      <c r="M10" s="291" t="e">
        <f>Holdings!#REF!</f>
        <v>#REF!</v>
      </c>
      <c r="N10" s="291" t="e">
        <f>($E10/Holdings!#REF!)-1</f>
        <v>#REF!</v>
      </c>
      <c r="O10" s="292"/>
    </row>
    <row r="11" spans="2:15" x14ac:dyDescent="0.2">
      <c r="B11" s="286"/>
      <c r="C11" s="290" t="e">
        <f>Holdings!#REF!</f>
        <v>#REF!</v>
      </c>
      <c r="D11" s="422" t="e">
        <f>IF(Holdings!#REF!=0,"NA",Holdings!#REF!)</f>
        <v>#REF!</v>
      </c>
      <c r="E11" s="424" t="e">
        <f>Holdings!#REF!</f>
        <v>#REF!</v>
      </c>
      <c r="F11" s="423" t="e">
        <f>Holdings!#REF!</f>
        <v>#REF!</v>
      </c>
      <c r="G11" s="291" t="e">
        <f>Holdings!#REF!</f>
        <v>#REF!</v>
      </c>
      <c r="H11" s="291" t="e">
        <f t="shared" si="0"/>
        <v>#REF!</v>
      </c>
      <c r="I11" s="291" t="e">
        <f>Holdings!#REF!</f>
        <v>#REF!</v>
      </c>
      <c r="J11" s="291" t="e">
        <f>Holdings!#REF!</f>
        <v>#REF!</v>
      </c>
      <c r="K11" s="291" t="e">
        <f>Holdings!#REF!</f>
        <v>#REF!</v>
      </c>
      <c r="L11" s="291" t="e">
        <f>($E11/Holdings!#REF!)-1</f>
        <v>#REF!</v>
      </c>
      <c r="M11" s="291" t="e">
        <f>Holdings!#REF!</f>
        <v>#REF!</v>
      </c>
      <c r="N11" s="291" t="e">
        <f>($E11/Holdings!#REF!)-1</f>
        <v>#REF!</v>
      </c>
      <c r="O11" s="292"/>
    </row>
    <row r="12" spans="2:15" x14ac:dyDescent="0.2">
      <c r="B12" s="286"/>
      <c r="C12" s="290" t="str">
        <f>Holdings!C9</f>
        <v>Home Depot</v>
      </c>
      <c r="D12" s="422" t="str">
        <f>IF(Holdings!D9=0,"NA",Holdings!D9)</f>
        <v>HD</v>
      </c>
      <c r="E12" s="424">
        <f>Holdings!I9</f>
        <v>7203.4531200000001</v>
      </c>
      <c r="F12" s="423">
        <f>Holdings!U9</f>
        <v>9.6050311702304006E-2</v>
      </c>
      <c r="G12" s="291">
        <f>Holdings!S9</f>
        <v>0</v>
      </c>
      <c r="H12" s="291">
        <f t="shared" si="0"/>
        <v>0</v>
      </c>
      <c r="I12" s="291">
        <f>Holdings!R9</f>
        <v>2.4353786897133523E-2</v>
      </c>
      <c r="J12" s="291">
        <f>Holdings!Q9</f>
        <v>2.4353786897133523E-2</v>
      </c>
      <c r="K12" s="291" t="e">
        <f>Holdings!#REF!</f>
        <v>#REF!</v>
      </c>
      <c r="L12" s="291">
        <f>($E12/Holdings!L9)-1</f>
        <v>0.66293726750815285</v>
      </c>
      <c r="M12" s="291" t="e">
        <f>Holdings!#REF!</f>
        <v>#REF!</v>
      </c>
      <c r="N12" s="291">
        <f>($E12/Holdings!K9)-1</f>
        <v>1.1366897837157102</v>
      </c>
      <c r="O12" s="292"/>
    </row>
    <row r="13" spans="2:15" x14ac:dyDescent="0.2">
      <c r="B13" s="286"/>
      <c r="C13" s="290" t="str">
        <f>Holdings!C10</f>
        <v>Intel</v>
      </c>
      <c r="D13" s="422" t="str">
        <f>IF(Holdings!D10=0,"NA",Holdings!D10)</f>
        <v>INTC</v>
      </c>
      <c r="E13" s="424">
        <f>Holdings!I10</f>
        <v>4579.2739599999995</v>
      </c>
      <c r="F13" s="423">
        <f>Holdings!U10</f>
        <v>6.1059700660374944E-2</v>
      </c>
      <c r="G13" s="291">
        <f>Holdings!S10</f>
        <v>0</v>
      </c>
      <c r="H13" s="291">
        <f t="shared" si="0"/>
        <v>0</v>
      </c>
      <c r="I13" s="291">
        <f>Holdings!R10</f>
        <v>-5.8563994572592426E-3</v>
      </c>
      <c r="J13" s="291">
        <f>Holdings!Q10</f>
        <v>-5.8563994572592426E-3</v>
      </c>
      <c r="K13" s="291" t="e">
        <f>Holdings!#REF!</f>
        <v>#REF!</v>
      </c>
      <c r="L13" s="291">
        <f>($E13/Holdings!L10)-1</f>
        <v>0.65402734995810086</v>
      </c>
      <c r="M13" s="291" t="e">
        <f>Holdings!#REF!</f>
        <v>#REF!</v>
      </c>
      <c r="N13" s="291">
        <f>($E13/Holdings!K10)-1</f>
        <v>0.65402734995810086</v>
      </c>
      <c r="O13" s="292"/>
    </row>
    <row r="14" spans="2:15" x14ac:dyDescent="0.2">
      <c r="B14" s="286"/>
      <c r="C14" s="290" t="e">
        <f>Holdings!#REF!</f>
        <v>#REF!</v>
      </c>
      <c r="D14" s="422" t="e">
        <f>IF(Holdings!#REF!=0,"NA",Holdings!#REF!)</f>
        <v>#REF!</v>
      </c>
      <c r="E14" s="424" t="e">
        <f>Holdings!#REF!</f>
        <v>#REF!</v>
      </c>
      <c r="F14" s="423" t="e">
        <f>Holdings!#REF!</f>
        <v>#REF!</v>
      </c>
      <c r="G14" s="291" t="e">
        <f>Holdings!#REF!</f>
        <v>#REF!</v>
      </c>
      <c r="H14" s="291" t="e">
        <f t="shared" si="0"/>
        <v>#REF!</v>
      </c>
      <c r="I14" s="291" t="e">
        <f>Holdings!#REF!</f>
        <v>#REF!</v>
      </c>
      <c r="J14" s="291" t="e">
        <f>Holdings!#REF!</f>
        <v>#REF!</v>
      </c>
      <c r="K14" s="291" t="e">
        <f>Holdings!#REF!</f>
        <v>#REF!</v>
      </c>
      <c r="L14" s="291" t="e">
        <f>($E14/Holdings!#REF!)-1</f>
        <v>#REF!</v>
      </c>
      <c r="M14" s="291" t="e">
        <f>Holdings!#REF!</f>
        <v>#REF!</v>
      </c>
      <c r="N14" s="291" t="e">
        <f>($E14/Holdings!#REF!)-1</f>
        <v>#REF!</v>
      </c>
      <c r="O14" s="292"/>
    </row>
    <row r="15" spans="2:15" x14ac:dyDescent="0.2">
      <c r="B15" s="286"/>
      <c r="C15" s="290" t="str">
        <f>Holdings!C12</f>
        <v>Bank of America</v>
      </c>
      <c r="D15" s="422" t="str">
        <f>IF(Holdings!D12=0,"NA",Holdings!D12)</f>
        <v>BAC</v>
      </c>
      <c r="E15" s="424">
        <f>Holdings!I12</f>
        <v>2398</v>
      </c>
      <c r="F15" s="423">
        <f>Holdings!U12</f>
        <v>3.1974754832877289E-2</v>
      </c>
      <c r="G15" s="291">
        <f>Holdings!S12</f>
        <v>0</v>
      </c>
      <c r="H15" s="291">
        <f t="shared" si="0"/>
        <v>0</v>
      </c>
      <c r="I15" s="291">
        <f>Holdings!R12</f>
        <v>5.4507337526206179E-3</v>
      </c>
      <c r="J15" s="291">
        <f>Holdings!Q12</f>
        <v>5.4507337526206179E-3</v>
      </c>
      <c r="K15" s="291" t="e">
        <f>Holdings!#REF!</f>
        <v>#REF!</v>
      </c>
      <c r="L15" s="291">
        <f>($E15/Holdings!L12)-1</f>
        <v>0.80689360351149797</v>
      </c>
      <c r="M15" s="291" t="e">
        <f>Holdings!#REF!</f>
        <v>#REF!</v>
      </c>
      <c r="N15" s="291">
        <f>($E15/Holdings!K12)-1</f>
        <v>1.0698401152877652</v>
      </c>
      <c r="O15" s="292"/>
    </row>
    <row r="16" spans="2:15" x14ac:dyDescent="0.2">
      <c r="B16" s="286"/>
      <c r="C16" s="290" t="str">
        <f>Holdings!C6</f>
        <v>BlackRock Global</v>
      </c>
      <c r="D16" s="422" t="str">
        <f>IF(Holdings!D6=0,"NA",Holdings!D6)</f>
        <v>MCLOX</v>
      </c>
      <c r="E16" s="424">
        <f>Holdings!I6</f>
        <v>2021.8935199999999</v>
      </c>
      <c r="F16" s="423">
        <f>Holdings!U6</f>
        <v>2.6959778815756161E-2</v>
      </c>
      <c r="G16" s="291">
        <f>Holdings!S6</f>
        <v>0</v>
      </c>
      <c r="H16" s="291">
        <f t="shared" si="0"/>
        <v>0</v>
      </c>
      <c r="I16" s="291">
        <f>Holdings!R6</f>
        <v>1.4574818677099977E-2</v>
      </c>
      <c r="J16" s="291">
        <f>Holdings!Q6</f>
        <v>1.4574818677099977E-2</v>
      </c>
      <c r="K16" s="291" t="e">
        <f>Holdings!#REF!</f>
        <v>#REF!</v>
      </c>
      <c r="L16" s="291">
        <f>($E16/Holdings!L6)-1</f>
        <v>0.1653430623278116</v>
      </c>
      <c r="M16" s="291" t="e">
        <f>Holdings!#REF!</f>
        <v>#REF!</v>
      </c>
      <c r="N16" s="291">
        <f>($E16/Holdings!K6)-1</f>
        <v>0.26207000423233473</v>
      </c>
      <c r="O16" s="292"/>
    </row>
    <row r="17" spans="2:15" x14ac:dyDescent="0.2">
      <c r="B17" s="286"/>
      <c r="C17" s="290" t="e">
        <f>Holdings!#REF!</f>
        <v>#REF!</v>
      </c>
      <c r="D17" s="422" t="e">
        <f>IF(Holdings!#REF!=0,"NA",Holdings!#REF!)</f>
        <v>#REF!</v>
      </c>
      <c r="E17" s="424" t="e">
        <f>Holdings!#REF!</f>
        <v>#REF!</v>
      </c>
      <c r="F17" s="423" t="e">
        <f>Holdings!#REF!</f>
        <v>#REF!</v>
      </c>
      <c r="G17" s="291" t="e">
        <f>Holdings!#REF!</f>
        <v>#REF!</v>
      </c>
      <c r="H17" s="291" t="e">
        <f t="shared" si="0"/>
        <v>#REF!</v>
      </c>
      <c r="I17" s="291" t="e">
        <f>Holdings!#REF!</f>
        <v>#REF!</v>
      </c>
      <c r="J17" s="291" t="e">
        <f>Holdings!#REF!</f>
        <v>#REF!</v>
      </c>
      <c r="K17" s="291" t="e">
        <f>Holdings!#REF!</f>
        <v>#REF!</v>
      </c>
      <c r="L17" s="291" t="e">
        <f>($E17/Holdings!#REF!)-1</f>
        <v>#REF!</v>
      </c>
      <c r="M17" s="291" t="e">
        <f>Holdings!#REF!</f>
        <v>#REF!</v>
      </c>
      <c r="N17" s="291" t="e">
        <f>($E17/Holdings!#REF!)-1</f>
        <v>#REF!</v>
      </c>
      <c r="O17" s="292"/>
    </row>
    <row r="18" spans="2:15" x14ac:dyDescent="0.2">
      <c r="B18" s="286"/>
      <c r="C18" s="290" t="e">
        <f>Holdings!#REF!</f>
        <v>#REF!</v>
      </c>
      <c r="D18" s="422" t="e">
        <f>IF(Holdings!#REF!=0,"NA",Holdings!#REF!)</f>
        <v>#REF!</v>
      </c>
      <c r="E18" s="424" t="e">
        <f>Holdings!#REF!</f>
        <v>#REF!</v>
      </c>
      <c r="F18" s="423" t="e">
        <f>Holdings!#REF!</f>
        <v>#REF!</v>
      </c>
      <c r="G18" s="291" t="e">
        <f>Holdings!#REF!</f>
        <v>#REF!</v>
      </c>
      <c r="H18" s="291" t="e">
        <f t="shared" si="0"/>
        <v>#REF!</v>
      </c>
      <c r="I18" s="291" t="e">
        <f>Holdings!#REF!</f>
        <v>#REF!</v>
      </c>
      <c r="J18" s="291" t="e">
        <f>Holdings!#REF!</f>
        <v>#REF!</v>
      </c>
      <c r="K18" s="291" t="e">
        <f>Holdings!#REF!</f>
        <v>#REF!</v>
      </c>
      <c r="L18" s="291" t="e">
        <f>($E18/Holdings!#REF!)-1</f>
        <v>#REF!</v>
      </c>
      <c r="M18" s="291" t="e">
        <f>Holdings!#REF!</f>
        <v>#REF!</v>
      </c>
      <c r="N18" s="291" t="e">
        <f>($E18/Holdings!#REF!)-1</f>
        <v>#REF!</v>
      </c>
      <c r="O18" s="292"/>
    </row>
    <row r="19" spans="2:15" x14ac:dyDescent="0.2">
      <c r="B19" s="286"/>
      <c r="C19" s="290" t="str">
        <f>Holdings!C5</f>
        <v>Berkshire Hathaway</v>
      </c>
      <c r="D19" s="422" t="str">
        <f>IF(Holdings!D5=0,"NA",Holdings!D5)</f>
        <v>BRK.B</v>
      </c>
      <c r="E19" s="424">
        <f>Holdings!I5</f>
        <v>4249.96</v>
      </c>
      <c r="F19" s="423">
        <f>Holdings!U5</f>
        <v>5.6668652647846193E-2</v>
      </c>
      <c r="G19" s="291">
        <f>Holdings!S5</f>
        <v>0</v>
      </c>
      <c r="H19" s="291">
        <f t="shared" si="0"/>
        <v>0</v>
      </c>
      <c r="I19" s="291">
        <f>Holdings!R5</f>
        <v>-1.7313935313213902E-2</v>
      </c>
      <c r="J19" s="291">
        <f>Holdings!Q5</f>
        <v>-1.7313935313213902E-2</v>
      </c>
      <c r="K19" s="291" t="e">
        <f>Holdings!#REF!</f>
        <v>#REF!</v>
      </c>
      <c r="L19" s="291">
        <f>($E19/Holdings!L5)-1</f>
        <v>0.52098259979529193</v>
      </c>
      <c r="M19" s="291" t="e">
        <f>Holdings!#REF!</f>
        <v>#REF!</v>
      </c>
      <c r="N19" s="291">
        <f>($E19/Holdings!K5)-1</f>
        <v>0.89036657444690315</v>
      </c>
      <c r="O19" s="292"/>
    </row>
    <row r="20" spans="2:15" x14ac:dyDescent="0.2">
      <c r="B20" s="286"/>
      <c r="C20" s="290" t="e">
        <f>Holdings!#REF!</f>
        <v>#REF!</v>
      </c>
      <c r="D20" s="422" t="e">
        <f>IF(Holdings!#REF!=0,"NA",Holdings!#REF!)</f>
        <v>#REF!</v>
      </c>
      <c r="E20" s="424" t="e">
        <f>Holdings!#REF!</f>
        <v>#REF!</v>
      </c>
      <c r="F20" s="423" t="e">
        <f>Holdings!#REF!</f>
        <v>#REF!</v>
      </c>
      <c r="G20" s="291" t="e">
        <f>Holdings!#REF!</f>
        <v>#REF!</v>
      </c>
      <c r="H20" s="291" t="e">
        <f t="shared" si="0"/>
        <v>#REF!</v>
      </c>
      <c r="I20" s="291" t="e">
        <f>Holdings!#REF!</f>
        <v>#REF!</v>
      </c>
      <c r="J20" s="291" t="e">
        <f>Holdings!#REF!</f>
        <v>#REF!</v>
      </c>
      <c r="K20" s="291" t="e">
        <f>Holdings!#REF!</f>
        <v>#REF!</v>
      </c>
      <c r="L20" s="291" t="e">
        <f>($E20/Holdings!#REF!)-1</f>
        <v>#REF!</v>
      </c>
      <c r="M20" s="291" t="e">
        <f>Holdings!#REF!</f>
        <v>#REF!</v>
      </c>
      <c r="N20" s="291" t="e">
        <f>($E20/Holdings!#REF!)-1</f>
        <v>#REF!</v>
      </c>
      <c r="O20" s="292"/>
    </row>
    <row r="21" spans="2:15" x14ac:dyDescent="0.2">
      <c r="B21" s="286"/>
      <c r="C21" s="290" t="str">
        <f>Holdings!C7</f>
        <v>Cisco</v>
      </c>
      <c r="D21" s="422" t="str">
        <f>IF(Holdings!D7=0,"NA",Holdings!D7)</f>
        <v>CSCO</v>
      </c>
      <c r="E21" s="424">
        <f>Holdings!I7</f>
        <v>2610.2999999999997</v>
      </c>
      <c r="F21" s="423">
        <f>Holdings!U7</f>
        <v>3.4805547347898078E-2</v>
      </c>
      <c r="G21" s="291">
        <f>Holdings!S7</f>
        <v>0</v>
      </c>
      <c r="H21" s="291">
        <f t="shared" si="0"/>
        <v>0</v>
      </c>
      <c r="I21" s="291">
        <f>Holdings!R7</f>
        <v>1.4671118941277816E-2</v>
      </c>
      <c r="J21" s="291">
        <f>Holdings!Q7</f>
        <v>1.4671118941277816E-2</v>
      </c>
      <c r="K21" s="291" t="e">
        <f>Holdings!#REF!</f>
        <v>#REF!</v>
      </c>
      <c r="L21" s="291">
        <f>($E21/Holdings!L7)-1</f>
        <v>0.87354483209110767</v>
      </c>
      <c r="M21" s="291" t="e">
        <f>Holdings!#REF!</f>
        <v>#REF!</v>
      </c>
      <c r="N21" s="291">
        <f>($E21/Holdings!K7)-1</f>
        <v>0.99008373612620537</v>
      </c>
      <c r="O21" s="292"/>
    </row>
    <row r="22" spans="2:15" x14ac:dyDescent="0.2">
      <c r="B22" s="286"/>
      <c r="C22" s="290" t="e">
        <f>Holdings!#REF!</f>
        <v>#REF!</v>
      </c>
      <c r="D22" s="422" t="e">
        <f>IF(Holdings!#REF!=0,"NA",Holdings!#REF!)</f>
        <v>#REF!</v>
      </c>
      <c r="E22" s="424" t="e">
        <f>Holdings!#REF!</f>
        <v>#REF!</v>
      </c>
      <c r="F22" s="423" t="e">
        <f>Holdings!#REF!</f>
        <v>#REF!</v>
      </c>
      <c r="G22" s="291" t="e">
        <f>Holdings!#REF!</f>
        <v>#REF!</v>
      </c>
      <c r="H22" s="291" t="e">
        <f t="shared" si="0"/>
        <v>#REF!</v>
      </c>
      <c r="I22" s="291" t="e">
        <f>Holdings!#REF!</f>
        <v>#REF!</v>
      </c>
      <c r="J22" s="291" t="e">
        <f>Holdings!#REF!</f>
        <v>#REF!</v>
      </c>
      <c r="K22" s="291" t="e">
        <f>Holdings!#REF!</f>
        <v>#REF!</v>
      </c>
      <c r="L22" s="291" t="e">
        <f>($E22/Holdings!#REF!)-1</f>
        <v>#REF!</v>
      </c>
      <c r="M22" s="291" t="e">
        <f>Holdings!#REF!</f>
        <v>#REF!</v>
      </c>
      <c r="N22" s="291" t="e">
        <f>($E22/Holdings!#REF!)-1</f>
        <v>#REF!</v>
      </c>
      <c r="O22" s="292"/>
    </row>
    <row r="23" spans="2:15" x14ac:dyDescent="0.2">
      <c r="B23" s="286"/>
      <c r="C23" s="290" t="s">
        <v>245</v>
      </c>
      <c r="D23" s="422" t="str">
        <f>IF(Holdings!D4=0,"NA",Holdings!D4)</f>
        <v>NA</v>
      </c>
      <c r="E23" s="424">
        <f>Holdings!I4</f>
        <v>9302.3700000000008</v>
      </c>
      <c r="F23" s="423">
        <f>Holdings!U4</f>
        <v>0.12403711430972175</v>
      </c>
      <c r="G23" s="291">
        <v>0</v>
      </c>
      <c r="H23" s="291">
        <f t="shared" si="0"/>
        <v>0</v>
      </c>
      <c r="I23" s="341"/>
      <c r="J23" s="286"/>
      <c r="K23" s="292"/>
      <c r="L23" s="292"/>
      <c r="M23" s="292"/>
      <c r="N23" s="292"/>
      <c r="O23" s="292"/>
    </row>
    <row r="24" spans="2:15" x14ac:dyDescent="0.2">
      <c r="B24" s="286"/>
      <c r="C24" s="290"/>
      <c r="D24" s="290"/>
      <c r="E24" s="444" t="e">
        <f>SUM(E5:E23)</f>
        <v>#REF!</v>
      </c>
      <c r="F24" s="290"/>
      <c r="G24" s="291"/>
      <c r="H24" s="291" t="e">
        <f>SUM(H5:H22)</f>
        <v>#REF!</v>
      </c>
      <c r="I24" s="341"/>
      <c r="J24" s="286"/>
      <c r="K24" s="292"/>
      <c r="L24" s="292"/>
      <c r="M24" s="292"/>
      <c r="N24" s="292"/>
      <c r="O24" s="292"/>
    </row>
    <row r="25" spans="2:15" x14ac:dyDescent="0.2">
      <c r="B25" s="286"/>
      <c r="C25" s="290"/>
      <c r="D25" s="289"/>
      <c r="E25" s="289"/>
      <c r="F25" s="289"/>
      <c r="G25" s="289"/>
      <c r="H25" s="289"/>
      <c r="I25" s="341"/>
      <c r="J25" s="286"/>
      <c r="K25" s="292"/>
      <c r="L25" s="292"/>
      <c r="M25" s="292"/>
      <c r="N25" s="292"/>
      <c r="O25" s="292"/>
    </row>
    <row r="26" spans="2:15" x14ac:dyDescent="0.2">
      <c r="B26" s="286"/>
      <c r="C26" s="286"/>
      <c r="D26" s="286"/>
      <c r="E26" s="286"/>
      <c r="F26" s="286"/>
      <c r="G26" s="293"/>
      <c r="H26" s="293"/>
      <c r="I26" s="286"/>
      <c r="J26" s="286"/>
      <c r="K26" s="293"/>
      <c r="L26" s="293"/>
      <c r="M26" s="293"/>
      <c r="N26" s="293"/>
      <c r="O26" s="293"/>
    </row>
    <row r="27" spans="2:15" ht="9" customHeight="1" x14ac:dyDescent="0.2"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</row>
  </sheetData>
  <autoFilter ref="C4:N22">
    <sortState ref="C5:N24">
      <sortCondition descending="1" ref="J4:J22"/>
    </sortState>
  </autoFilter>
  <mergeCells count="1">
    <mergeCell ref="C3:J3"/>
  </mergeCells>
  <conditionalFormatting sqref="O6:O26 G24:H26 K24:N26 G5:N23">
    <cfRule type="cellIs" dxfId="26" priority="10" operator="equal">
      <formula>"""Large"""</formula>
    </cfRule>
  </conditionalFormatting>
  <conditionalFormatting sqref="G24:H25 G5:N23">
    <cfRule type="cellIs" dxfId="25" priority="9" operator="lessThan">
      <formula>0</formula>
    </cfRule>
  </conditionalFormatting>
  <conditionalFormatting sqref="G24:H25 G5:N23">
    <cfRule type="cellIs" dxfId="24" priority="8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B36:F48"/>
  <sheetViews>
    <sheetView topLeftCell="A4" workbookViewId="0">
      <selection activeCell="W25" sqref="W25"/>
    </sheetView>
  </sheetViews>
  <sheetFormatPr baseColWidth="10" defaultColWidth="9.1640625" defaultRowHeight="13" x14ac:dyDescent="0.15"/>
  <cols>
    <col min="1" max="5" width="9.1640625" style="430"/>
    <col min="6" max="6" width="10.1640625" style="430" bestFit="1" customWidth="1"/>
    <col min="7" max="16384" width="9.1640625" style="430"/>
  </cols>
  <sheetData>
    <row r="36" spans="2:6" x14ac:dyDescent="0.15">
      <c r="B36" s="428"/>
      <c r="C36" s="428"/>
      <c r="D36" s="428"/>
      <c r="E36" s="428"/>
      <c r="F36" s="429"/>
    </row>
    <row r="37" spans="2:6" x14ac:dyDescent="0.15">
      <c r="B37" s="428"/>
      <c r="C37" s="428"/>
      <c r="D37" s="428"/>
      <c r="E37" s="428"/>
      <c r="F37" s="428"/>
    </row>
    <row r="38" spans="2:6" ht="14" x14ac:dyDescent="0.15">
      <c r="B38" s="428"/>
      <c r="C38" s="428"/>
      <c r="D38" s="431"/>
      <c r="E38" s="431"/>
      <c r="F38" s="431"/>
    </row>
    <row r="39" spans="2:6" ht="14" x14ac:dyDescent="0.15">
      <c r="B39" s="428"/>
      <c r="C39" s="428"/>
      <c r="D39" s="431"/>
      <c r="E39" s="431"/>
      <c r="F39" s="431"/>
    </row>
    <row r="40" spans="2:6" ht="14" x14ac:dyDescent="0.15">
      <c r="B40" s="428"/>
      <c r="C40" s="428"/>
      <c r="D40" s="431"/>
      <c r="E40" s="431"/>
      <c r="F40" s="431"/>
    </row>
    <row r="41" spans="2:6" ht="14" x14ac:dyDescent="0.15">
      <c r="B41" s="428"/>
      <c r="C41" s="428"/>
      <c r="D41" s="431"/>
      <c r="E41" s="431"/>
      <c r="F41" s="431"/>
    </row>
    <row r="42" spans="2:6" ht="14" x14ac:dyDescent="0.15">
      <c r="B42" s="428"/>
      <c r="C42" s="428"/>
      <c r="D42" s="431"/>
      <c r="E42" s="431"/>
      <c r="F42" s="431"/>
    </row>
    <row r="43" spans="2:6" x14ac:dyDescent="0.15">
      <c r="B43" s="428"/>
      <c r="C43" s="428"/>
      <c r="D43" s="428"/>
      <c r="E43" s="428"/>
      <c r="F43" s="428"/>
    </row>
    <row r="44" spans="2:6" x14ac:dyDescent="0.15">
      <c r="B44" s="428"/>
      <c r="C44" s="428"/>
      <c r="D44" s="428"/>
      <c r="E44" s="428"/>
      <c r="F44" s="428"/>
    </row>
    <row r="45" spans="2:6" ht="14" x14ac:dyDescent="0.2">
      <c r="B45" s="428"/>
      <c r="C45" s="428"/>
      <c r="D45" s="432"/>
      <c r="E45" s="428"/>
      <c r="F45" s="428"/>
    </row>
    <row r="46" spans="2:6" x14ac:dyDescent="0.15">
      <c r="B46" s="428"/>
      <c r="C46" s="428"/>
      <c r="D46" s="428"/>
      <c r="E46" s="428"/>
      <c r="F46" s="428"/>
    </row>
    <row r="47" spans="2:6" x14ac:dyDescent="0.15">
      <c r="B47" s="428"/>
      <c r="C47" s="428"/>
      <c r="D47" s="428"/>
      <c r="E47" s="428"/>
      <c r="F47" s="428"/>
    </row>
    <row r="48" spans="2:6" x14ac:dyDescent="0.15">
      <c r="B48" s="428"/>
      <c r="C48" s="428"/>
      <c r="D48" s="428"/>
      <c r="E48" s="428"/>
      <c r="F48" s="42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U31" sqref="U31"/>
    </sheetView>
  </sheetViews>
  <sheetFormatPr baseColWidth="10" defaultColWidth="8.83203125" defaultRowHeight="13" x14ac:dyDescent="0.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B2:AE54"/>
  <sheetViews>
    <sheetView workbookViewId="0">
      <pane xSplit="4" topLeftCell="E1" activePane="topRight" state="frozen"/>
      <selection pane="topRight" activeCell="I20" sqref="I20"/>
    </sheetView>
  </sheetViews>
  <sheetFormatPr baseColWidth="10" defaultColWidth="9.1640625" defaultRowHeight="13" x14ac:dyDescent="0.15"/>
  <cols>
    <col min="1" max="1" width="2.83203125" style="233" customWidth="1"/>
    <col min="2" max="2" width="0.6640625" style="233" customWidth="1"/>
    <col min="3" max="3" width="20.6640625" style="233" bestFit="1" customWidth="1"/>
    <col min="4" max="4" width="7.33203125" style="233" bestFit="1" customWidth="1"/>
    <col min="5" max="5" width="7.1640625" style="233" bestFit="1" customWidth="1"/>
    <col min="6" max="6" width="10.1640625" style="233" bestFit="1" customWidth="1"/>
    <col min="7" max="7" width="11.5" style="233" bestFit="1" customWidth="1"/>
    <col min="8" max="8" width="10.83203125" style="233" bestFit="1" customWidth="1"/>
    <col min="9" max="9" width="13.5" style="233" bestFit="1" customWidth="1"/>
    <col min="10" max="10" width="18.1640625" style="233" customWidth="1"/>
    <col min="11" max="11" width="16.5" style="233" hidden="1" customWidth="1"/>
    <col min="12" max="12" width="17.83203125" style="233" hidden="1" customWidth="1"/>
    <col min="13" max="13" width="16.5" style="233" bestFit="1" customWidth="1"/>
    <col min="14" max="14" width="4.33203125" style="233" customWidth="1"/>
    <col min="15" max="15" width="13.6640625" style="233" bestFit="1" customWidth="1"/>
    <col min="16" max="16" width="12.33203125" style="233" bestFit="1" customWidth="1"/>
    <col min="17" max="17" width="12" style="233" bestFit="1" customWidth="1"/>
    <col min="18" max="18" width="10.6640625" style="233" bestFit="1" customWidth="1"/>
    <col min="19" max="19" width="7.5" style="233" bestFit="1" customWidth="1"/>
    <col min="20" max="20" width="21.33203125" style="233" customWidth="1"/>
    <col min="21" max="21" width="16.1640625" style="233" bestFit="1" customWidth="1"/>
    <col min="22" max="22" width="14" style="233" customWidth="1"/>
    <col min="23" max="23" width="7.1640625" style="233" customWidth="1"/>
    <col min="24" max="24" width="3.1640625" style="233" bestFit="1" customWidth="1"/>
    <col min="25" max="25" width="4.33203125" style="233" bestFit="1" customWidth="1"/>
    <col min="26" max="28" width="0.6640625" style="233" customWidth="1"/>
    <col min="29" max="30" width="16" style="233" bestFit="1" customWidth="1"/>
    <col min="31" max="31" width="0.6640625" style="233" customWidth="1"/>
    <col min="32" max="65" width="9.1640625" style="233"/>
    <col min="66" max="66" width="9.5" style="233" customWidth="1"/>
    <col min="67" max="16384" width="9.1640625" style="233"/>
  </cols>
  <sheetData>
    <row r="2" spans="2:31" ht="3.75" customHeight="1" x14ac:dyDescent="0.15"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B2" s="238"/>
      <c r="AC2" s="238"/>
      <c r="AD2" s="238"/>
      <c r="AE2" s="238"/>
    </row>
    <row r="3" spans="2:31" ht="26" x14ac:dyDescent="0.15">
      <c r="B3" s="238"/>
      <c r="C3" s="270" t="s">
        <v>197</v>
      </c>
      <c r="D3" s="270" t="s">
        <v>109</v>
      </c>
      <c r="E3" s="270" t="s">
        <v>110</v>
      </c>
      <c r="F3" s="270" t="s">
        <v>58</v>
      </c>
      <c r="G3" s="270" t="s">
        <v>57</v>
      </c>
      <c r="H3" s="270" t="s">
        <v>111</v>
      </c>
      <c r="I3" s="270" t="s">
        <v>59</v>
      </c>
      <c r="J3" s="270" t="s">
        <v>199</v>
      </c>
      <c r="K3" s="270" t="s">
        <v>156</v>
      </c>
      <c r="L3" s="342" t="s">
        <v>212</v>
      </c>
      <c r="M3" s="481">
        <v>42859</v>
      </c>
      <c r="N3" s="279"/>
      <c r="O3" s="270" t="s">
        <v>200</v>
      </c>
      <c r="P3" s="270" t="s">
        <v>165</v>
      </c>
      <c r="Q3" s="361" t="s">
        <v>323</v>
      </c>
      <c r="R3" s="270" t="s">
        <v>164</v>
      </c>
      <c r="S3" s="270" t="s">
        <v>160</v>
      </c>
      <c r="T3" s="270" t="s">
        <v>131</v>
      </c>
      <c r="U3" s="270" t="s">
        <v>201</v>
      </c>
      <c r="V3" s="507" t="s">
        <v>202</v>
      </c>
      <c r="W3" s="507"/>
      <c r="X3" s="270" t="s">
        <v>155</v>
      </c>
      <c r="Y3" s="270" t="s">
        <v>63</v>
      </c>
      <c r="Z3" s="274"/>
      <c r="AA3" s="275"/>
      <c r="AB3" s="240"/>
      <c r="AC3" s="443" t="s">
        <v>213</v>
      </c>
      <c r="AD3" s="443" t="s">
        <v>203</v>
      </c>
      <c r="AE3" s="238"/>
    </row>
    <row r="4" spans="2:31" x14ac:dyDescent="0.15">
      <c r="B4" s="238"/>
      <c r="C4" s="239" t="s">
        <v>47</v>
      </c>
      <c r="D4" s="238"/>
      <c r="E4" s="452">
        <v>1</v>
      </c>
      <c r="F4" s="264">
        <v>1</v>
      </c>
      <c r="G4" s="471">
        <v>9302.3700000000008</v>
      </c>
      <c r="H4" s="265">
        <v>0</v>
      </c>
      <c r="I4" s="471">
        <f>G4</f>
        <v>9302.3700000000008</v>
      </c>
      <c r="J4" s="471">
        <v>9328.3770000000004</v>
      </c>
      <c r="K4" s="265">
        <v>4804</v>
      </c>
      <c r="L4" s="265">
        <v>4361.76</v>
      </c>
      <c r="M4" s="265">
        <v>9328.3770000000004</v>
      </c>
      <c r="N4" s="276"/>
      <c r="O4" s="255"/>
      <c r="P4" s="236"/>
      <c r="Q4" s="346"/>
      <c r="R4" s="236"/>
      <c r="S4" s="236"/>
      <c r="T4" s="252" t="s">
        <v>47</v>
      </c>
      <c r="U4" s="349">
        <f t="shared" ref="U4:U19" si="0">I4/$I$22</f>
        <v>0.12403711430972175</v>
      </c>
      <c r="V4" s="265"/>
      <c r="W4" s="268"/>
      <c r="X4" s="265"/>
      <c r="Y4" s="265"/>
      <c r="Z4" s="265"/>
      <c r="AA4" s="276"/>
      <c r="AB4" s="240"/>
      <c r="AC4" s="272">
        <v>0</v>
      </c>
      <c r="AD4" s="272">
        <f>(0.01/365)*U4</f>
        <v>3.3982771043759383E-6</v>
      </c>
      <c r="AE4" s="238"/>
    </row>
    <row r="5" spans="2:31" x14ac:dyDescent="0.15">
      <c r="B5" s="238"/>
      <c r="C5" s="239" t="s">
        <v>163</v>
      </c>
      <c r="D5" s="239" t="str">
        <f>'holdings pull sheet'!C11</f>
        <v>BRK.B</v>
      </c>
      <c r="E5" s="453">
        <v>163.46</v>
      </c>
      <c r="F5" s="264">
        <v>77.89</v>
      </c>
      <c r="G5" s="358">
        <v>26</v>
      </c>
      <c r="H5" s="265">
        <f t="shared" ref="H5:H11" si="1">(G5*F5)+10</f>
        <v>2035.14</v>
      </c>
      <c r="I5" s="265">
        <f t="shared" ref="I5:I19" si="2">E5*G5</f>
        <v>4249.96</v>
      </c>
      <c r="J5" s="459">
        <v>4324.84</v>
      </c>
      <c r="K5" s="265">
        <v>2248.2200317382799</v>
      </c>
      <c r="L5" s="265">
        <v>2794.22</v>
      </c>
      <c r="M5" s="265">
        <v>4324.84</v>
      </c>
      <c r="N5" s="276"/>
      <c r="O5" s="266">
        <f>I5-H5</f>
        <v>2214.8199999999997</v>
      </c>
      <c r="P5" s="236">
        <f>(I5/H5)-1</f>
        <v>1.0882887663747947</v>
      </c>
      <c r="Q5" s="346">
        <f>(I5/M5)-1</f>
        <v>-1.7313935313213902E-2</v>
      </c>
      <c r="R5" s="236">
        <f t="shared" ref="R5:R19" si="3">(I5/J5)-1</f>
        <v>-1.7313935313213902E-2</v>
      </c>
      <c r="S5" s="236"/>
      <c r="T5" s="252" t="s">
        <v>2</v>
      </c>
      <c r="U5" s="349">
        <f t="shared" si="0"/>
        <v>5.6668652647846193E-2</v>
      </c>
      <c r="V5" s="267"/>
      <c r="W5" s="268"/>
      <c r="X5" s="267"/>
      <c r="Y5" s="269"/>
      <c r="Z5" s="269"/>
      <c r="AA5" s="277"/>
      <c r="AB5" s="252"/>
      <c r="AC5" s="272">
        <f>U5*R5</f>
        <v>-9.8115738623179662E-4</v>
      </c>
      <c r="AD5" s="272">
        <f t="shared" ref="AD5:AD17" si="4">U5*S5</f>
        <v>0</v>
      </c>
      <c r="AE5" s="238"/>
    </row>
    <row r="6" spans="2:31" x14ac:dyDescent="0.15">
      <c r="B6" s="238"/>
      <c r="C6" s="239" t="s">
        <v>166</v>
      </c>
      <c r="D6" s="239" t="str">
        <f>'holdings pull sheet'!C12</f>
        <v>MCLOX</v>
      </c>
      <c r="E6" s="453">
        <v>17.559999999999999</v>
      </c>
      <c r="F6" s="264">
        <v>17.23</v>
      </c>
      <c r="G6" s="358">
        <v>115.142</v>
      </c>
      <c r="H6" s="265">
        <f t="shared" si="1"/>
        <v>1993.8966599999999</v>
      </c>
      <c r="I6" s="265">
        <f t="shared" si="2"/>
        <v>2021.8935199999999</v>
      </c>
      <c r="J6" s="459">
        <v>1992.8481200000001</v>
      </c>
      <c r="K6" s="265">
        <v>1602.045459617618</v>
      </c>
      <c r="L6" s="265">
        <v>1735.0200000000002</v>
      </c>
      <c r="M6" s="265">
        <v>1992.8481200000001</v>
      </c>
      <c r="N6" s="276"/>
      <c r="O6" s="266">
        <f>I6-H6</f>
        <v>27.99685999999997</v>
      </c>
      <c r="P6" s="236">
        <f>(I6/H6)-1</f>
        <v>1.4041279350957003E-2</v>
      </c>
      <c r="Q6" s="346">
        <f t="shared" ref="Q6:Q19" si="5">(I6/M6)-1</f>
        <v>1.4574818677099977E-2</v>
      </c>
      <c r="R6" s="236">
        <f t="shared" si="3"/>
        <v>1.4574818677099977E-2</v>
      </c>
      <c r="S6" s="236"/>
      <c r="T6" s="347" t="s">
        <v>2</v>
      </c>
      <c r="U6" s="349">
        <f t="shared" si="0"/>
        <v>2.6959778815756161E-2</v>
      </c>
      <c r="V6" s="350"/>
      <c r="W6" s="268"/>
      <c r="X6" s="350"/>
      <c r="Y6" s="351"/>
      <c r="Z6" s="269"/>
      <c r="AA6" s="277"/>
      <c r="AB6" s="252"/>
      <c r="AC6" s="352">
        <f t="shared" ref="AC6:AC14" si="6">U6*R6</f>
        <v>3.929338878143672E-4</v>
      </c>
      <c r="AD6" s="352">
        <f t="shared" si="4"/>
        <v>0</v>
      </c>
      <c r="AE6" s="238"/>
    </row>
    <row r="7" spans="2:31" x14ac:dyDescent="0.15">
      <c r="B7" s="238"/>
      <c r="C7" s="239" t="s">
        <v>168</v>
      </c>
      <c r="D7" s="239" t="str">
        <f>'holdings pull sheet'!C14</f>
        <v>CSCO</v>
      </c>
      <c r="E7" s="453">
        <v>33.9</v>
      </c>
      <c r="F7" s="264">
        <v>18.670000000000002</v>
      </c>
      <c r="G7" s="358">
        <v>77</v>
      </c>
      <c r="H7" s="265">
        <f t="shared" si="1"/>
        <v>1447.5900000000001</v>
      </c>
      <c r="I7" s="265">
        <f t="shared" si="2"/>
        <v>2610.2999999999997</v>
      </c>
      <c r="J7" s="459">
        <v>2572.5576999999998</v>
      </c>
      <c r="K7" s="265">
        <v>1311.6533503665908</v>
      </c>
      <c r="L7" s="265">
        <v>1393.24128</v>
      </c>
      <c r="M7" s="265">
        <v>2572.5576999999998</v>
      </c>
      <c r="O7" s="348">
        <f t="shared" ref="O7:O19" si="7">I7-H7</f>
        <v>1162.7099999999996</v>
      </c>
      <c r="P7" s="346">
        <f t="shared" ref="P7:P19" si="8">(I7/H7)-1</f>
        <v>0.80320394586865018</v>
      </c>
      <c r="Q7" s="346">
        <f t="shared" si="5"/>
        <v>1.4671118941277816E-2</v>
      </c>
      <c r="R7" s="346">
        <f t="shared" si="3"/>
        <v>1.4671118941277816E-2</v>
      </c>
      <c r="S7" s="346"/>
      <c r="T7" s="252" t="s">
        <v>91</v>
      </c>
      <c r="U7" s="349">
        <f t="shared" si="0"/>
        <v>3.4805547347898078E-2</v>
      </c>
      <c r="V7" s="350"/>
      <c r="W7" s="268"/>
      <c r="X7" s="350"/>
      <c r="Y7" s="351"/>
      <c r="Z7" s="351"/>
      <c r="AB7" s="347"/>
      <c r="AC7" s="352">
        <f t="shared" si="6"/>
        <v>5.1063632495728934E-4</v>
      </c>
      <c r="AD7" s="352">
        <f t="shared" si="4"/>
        <v>0</v>
      </c>
      <c r="AE7" s="238"/>
    </row>
    <row r="8" spans="2:31" x14ac:dyDescent="0.15">
      <c r="B8" s="238"/>
      <c r="C8" s="239" t="s">
        <v>322</v>
      </c>
      <c r="D8" s="239" t="s">
        <v>318</v>
      </c>
      <c r="E8" s="453">
        <v>22.49</v>
      </c>
      <c r="F8" s="264">
        <v>20.764700000000001</v>
      </c>
      <c r="G8" s="358">
        <v>190</v>
      </c>
      <c r="H8" s="265">
        <f t="shared" si="1"/>
        <v>3955.2930000000001</v>
      </c>
      <c r="I8" s="265">
        <f t="shared" si="2"/>
        <v>4273.0999999999995</v>
      </c>
      <c r="J8" s="459">
        <v>3967.2</v>
      </c>
      <c r="K8" s="265"/>
      <c r="L8" s="265"/>
      <c r="M8" s="265">
        <v>3967.2</v>
      </c>
      <c r="N8" s="276"/>
      <c r="O8" s="348">
        <f t="shared" ref="O8" si="9">I8-H8</f>
        <v>317.80699999999933</v>
      </c>
      <c r="P8" s="346">
        <f t="shared" ref="P8" si="10">(I8/H8)-1</f>
        <v>8.0349799622935425E-2</v>
      </c>
      <c r="Q8" s="346">
        <f t="shared" si="5"/>
        <v>7.7107279693486408E-2</v>
      </c>
      <c r="R8" s="346">
        <f t="shared" si="3"/>
        <v>7.7107279693486408E-2</v>
      </c>
      <c r="S8" s="346"/>
      <c r="T8" s="347" t="s">
        <v>89</v>
      </c>
      <c r="U8" s="349">
        <f t="shared" si="0"/>
        <v>5.697719969823517E-2</v>
      </c>
      <c r="V8" s="350"/>
      <c r="W8" s="268"/>
      <c r="X8" s="350"/>
      <c r="Y8" s="351"/>
      <c r="Z8" s="351"/>
      <c r="AA8" s="277"/>
      <c r="AB8" s="347"/>
      <c r="AC8" s="352">
        <f t="shared" si="6"/>
        <v>4.3933568732834483E-3</v>
      </c>
      <c r="AD8" s="352">
        <f t="shared" si="4"/>
        <v>0</v>
      </c>
      <c r="AE8" s="238"/>
    </row>
    <row r="9" spans="2:31" x14ac:dyDescent="0.15">
      <c r="B9" s="238"/>
      <c r="C9" s="239" t="s">
        <v>169</v>
      </c>
      <c r="D9" s="239" t="str">
        <f>'holdings pull sheet'!C17</f>
        <v>HD</v>
      </c>
      <c r="E9" s="453">
        <v>157.68</v>
      </c>
      <c r="F9" s="264">
        <v>31.22</v>
      </c>
      <c r="G9" s="358">
        <v>45.683999999999997</v>
      </c>
      <c r="H9" s="265">
        <f t="shared" si="1"/>
        <v>1436.2544799999998</v>
      </c>
      <c r="I9" s="265">
        <f t="shared" si="2"/>
        <v>7203.4531200000001</v>
      </c>
      <c r="J9" s="459">
        <v>7032.1926000000003</v>
      </c>
      <c r="K9" s="265">
        <v>3371.3144392318723</v>
      </c>
      <c r="L9" s="265">
        <v>4331.7647999999999</v>
      </c>
      <c r="M9" s="265">
        <v>7032.1926000000003</v>
      </c>
      <c r="N9" s="276"/>
      <c r="O9" s="348">
        <f t="shared" si="7"/>
        <v>5767.1986400000005</v>
      </c>
      <c r="P9" s="346">
        <f t="shared" si="8"/>
        <v>4.0154434470415028</v>
      </c>
      <c r="Q9" s="346">
        <f t="shared" si="5"/>
        <v>2.4353786897133523E-2</v>
      </c>
      <c r="R9" s="346">
        <f t="shared" si="3"/>
        <v>2.4353786897133523E-2</v>
      </c>
      <c r="S9" s="346"/>
      <c r="T9" s="252" t="s">
        <v>89</v>
      </c>
      <c r="U9" s="349">
        <f t="shared" si="0"/>
        <v>9.6050311702304006E-2</v>
      </c>
      <c r="V9" s="350"/>
      <c r="W9" s="268"/>
      <c r="X9" s="350"/>
      <c r="Y9" s="351"/>
      <c r="Z9" s="269"/>
      <c r="AA9" s="277"/>
      <c r="AB9" s="252"/>
      <c r="AC9" s="352">
        <f t="shared" si="6"/>
        <v>2.339188822601162E-3</v>
      </c>
      <c r="AD9" s="352">
        <f t="shared" si="4"/>
        <v>0</v>
      </c>
      <c r="AE9" s="238"/>
    </row>
    <row r="10" spans="2:31" x14ac:dyDescent="0.15">
      <c r="B10" s="238"/>
      <c r="C10" s="239" t="s">
        <v>216</v>
      </c>
      <c r="D10" s="239" t="str">
        <f>'holdings pull sheet'!C19</f>
        <v>INTC</v>
      </c>
      <c r="E10" s="453">
        <v>36.369999999999997</v>
      </c>
      <c r="F10" s="264">
        <v>34.409999999999997</v>
      </c>
      <c r="G10" s="358">
        <v>125.908</v>
      </c>
      <c r="H10" s="265">
        <f t="shared" si="1"/>
        <v>4342.4942799999999</v>
      </c>
      <c r="I10" s="265">
        <f t="shared" si="2"/>
        <v>4579.2739599999995</v>
      </c>
      <c r="J10" s="459">
        <v>4606.25</v>
      </c>
      <c r="K10" s="265">
        <v>2768.56</v>
      </c>
      <c r="L10" s="265">
        <v>2768.56</v>
      </c>
      <c r="M10" s="265">
        <v>4606.25</v>
      </c>
      <c r="N10" s="276"/>
      <c r="O10" s="348">
        <f t="shared" si="7"/>
        <v>236.77967999999964</v>
      </c>
      <c r="P10" s="346">
        <f t="shared" si="8"/>
        <v>5.4526192720741884E-2</v>
      </c>
      <c r="Q10" s="346">
        <f t="shared" si="5"/>
        <v>-5.8563994572592426E-3</v>
      </c>
      <c r="R10" s="346">
        <f t="shared" si="3"/>
        <v>-5.8563994572592426E-3</v>
      </c>
      <c r="S10" s="346"/>
      <c r="T10" s="347" t="s">
        <v>91</v>
      </c>
      <c r="U10" s="349">
        <f t="shared" si="0"/>
        <v>6.1059700660374944E-2</v>
      </c>
      <c r="V10" s="350"/>
      <c r="W10" s="268"/>
      <c r="X10" s="350"/>
      <c r="Y10" s="351"/>
      <c r="Z10" s="269"/>
      <c r="AA10" s="277"/>
      <c r="AB10" s="252"/>
      <c r="AC10" s="352">
        <f t="shared" si="6"/>
        <v>-3.5758999780783165E-4</v>
      </c>
      <c r="AD10" s="352">
        <f t="shared" si="4"/>
        <v>0</v>
      </c>
      <c r="AE10" s="238"/>
    </row>
    <row r="11" spans="2:31" x14ac:dyDescent="0.15">
      <c r="B11" s="238"/>
      <c r="C11" s="239" t="s">
        <v>303</v>
      </c>
      <c r="D11" s="239" t="s">
        <v>211</v>
      </c>
      <c r="E11" s="453">
        <v>49.56</v>
      </c>
      <c r="F11" s="264">
        <v>41.59</v>
      </c>
      <c r="G11" s="358">
        <v>50.427</v>
      </c>
      <c r="H11" s="265">
        <f t="shared" si="1"/>
        <v>2107.25893</v>
      </c>
      <c r="I11" s="265">
        <f>G11*E11</f>
        <v>2499.16212</v>
      </c>
      <c r="J11" s="459">
        <v>2442.2144000000003</v>
      </c>
      <c r="K11" s="265"/>
      <c r="L11" s="265"/>
      <c r="M11" s="265">
        <v>2442.2144000000003</v>
      </c>
      <c r="N11" s="276"/>
      <c r="O11" s="348">
        <f t="shared" si="7"/>
        <v>391.90319</v>
      </c>
      <c r="P11" s="346">
        <f t="shared" si="8"/>
        <v>0.18597770991531637</v>
      </c>
      <c r="Q11" s="346">
        <f t="shared" si="5"/>
        <v>2.3318067406366882E-2</v>
      </c>
      <c r="R11" s="346">
        <f t="shared" si="3"/>
        <v>2.3318067406366882E-2</v>
      </c>
      <c r="S11" s="346"/>
      <c r="T11" s="347" t="s">
        <v>307</v>
      </c>
      <c r="U11" s="349">
        <f t="shared" si="0"/>
        <v>3.3323643066978256E-2</v>
      </c>
      <c r="V11" s="350"/>
      <c r="W11" s="268"/>
      <c r="X11" s="350"/>
      <c r="Y11" s="351"/>
      <c r="Z11" s="351"/>
      <c r="AA11" s="277"/>
      <c r="AB11" s="347"/>
      <c r="AC11" s="352">
        <f t="shared" si="6"/>
        <v>7.7704295526150947E-4</v>
      </c>
      <c r="AD11" s="352">
        <f t="shared" si="4"/>
        <v>0</v>
      </c>
      <c r="AE11" s="238"/>
    </row>
    <row r="12" spans="2:31" x14ac:dyDescent="0.15">
      <c r="B12" s="238"/>
      <c r="C12" s="239" t="s">
        <v>320</v>
      </c>
      <c r="D12" s="239" t="s">
        <v>316</v>
      </c>
      <c r="E12" s="453">
        <v>23.98</v>
      </c>
      <c r="F12" s="264">
        <v>24.56</v>
      </c>
      <c r="G12" s="358">
        <v>100</v>
      </c>
      <c r="H12" s="265">
        <f>(G12*F12)+10</f>
        <v>2466</v>
      </c>
      <c r="I12" s="265">
        <f t="shared" si="2"/>
        <v>2398</v>
      </c>
      <c r="J12" s="459">
        <v>2385</v>
      </c>
      <c r="K12" s="265">
        <v>1158.543591018677</v>
      </c>
      <c r="L12" s="265">
        <v>1327.13957</v>
      </c>
      <c r="M12" s="265">
        <v>2385</v>
      </c>
      <c r="N12" s="276"/>
      <c r="O12" s="348">
        <f t="shared" si="7"/>
        <v>-68</v>
      </c>
      <c r="P12" s="346">
        <f t="shared" si="8"/>
        <v>-2.7575020275750206E-2</v>
      </c>
      <c r="Q12" s="346">
        <f t="shared" si="5"/>
        <v>5.4507337526206179E-3</v>
      </c>
      <c r="R12" s="346">
        <f t="shared" si="3"/>
        <v>5.4507337526206179E-3</v>
      </c>
      <c r="S12" s="346"/>
      <c r="T12" s="252" t="s">
        <v>2</v>
      </c>
      <c r="U12" s="349">
        <f t="shared" si="0"/>
        <v>3.1974754832877289E-2</v>
      </c>
      <c r="V12" s="350"/>
      <c r="W12" s="268"/>
      <c r="X12" s="350"/>
      <c r="Y12" s="351"/>
      <c r="Z12" s="351"/>
      <c r="AA12" s="277"/>
      <c r="AB12" s="347"/>
      <c r="AC12" s="352">
        <f t="shared" si="6"/>
        <v>1.7428587539933347E-4</v>
      </c>
      <c r="AD12" s="352">
        <f t="shared" si="4"/>
        <v>0</v>
      </c>
      <c r="AE12" s="238"/>
    </row>
    <row r="13" spans="2:31" x14ac:dyDescent="0.15">
      <c r="B13" s="238"/>
      <c r="C13" s="239" t="s">
        <v>270</v>
      </c>
      <c r="D13" s="239" t="str">
        <f>'holdings pull sheet'!C23</f>
        <v>PSX</v>
      </c>
      <c r="E13" s="453">
        <v>79.599999999999994</v>
      </c>
      <c r="F13" s="264">
        <v>70.47</v>
      </c>
      <c r="G13" s="358">
        <v>43.344000000000001</v>
      </c>
      <c r="H13" s="265">
        <f t="shared" ref="H13:H19" si="11">(G13*F13)+10</f>
        <v>3064.4516800000001</v>
      </c>
      <c r="I13" s="265">
        <f t="shared" si="2"/>
        <v>3450.1823999999997</v>
      </c>
      <c r="J13" s="459">
        <v>3364.3199999999997</v>
      </c>
      <c r="K13" s="265"/>
      <c r="L13" s="265"/>
      <c r="M13" s="265">
        <v>3364.3199999999997</v>
      </c>
      <c r="N13" s="276"/>
      <c r="O13" s="348">
        <f t="shared" si="7"/>
        <v>385.73071999999956</v>
      </c>
      <c r="P13" s="346">
        <f t="shared" si="8"/>
        <v>0.12587267161608495</v>
      </c>
      <c r="Q13" s="346">
        <f t="shared" si="5"/>
        <v>2.5521472392638023E-2</v>
      </c>
      <c r="R13" s="346">
        <f t="shared" si="3"/>
        <v>2.5521472392638023E-2</v>
      </c>
      <c r="S13" s="346"/>
      <c r="T13" s="347" t="s">
        <v>307</v>
      </c>
      <c r="U13" s="349">
        <f t="shared" si="0"/>
        <v>4.6004477217976715E-2</v>
      </c>
      <c r="V13" s="350"/>
      <c r="W13" s="268"/>
      <c r="X13" s="350"/>
      <c r="Y13" s="351"/>
      <c r="Z13" s="351"/>
      <c r="AA13" s="277"/>
      <c r="AB13" s="347"/>
      <c r="AC13" s="352">
        <f t="shared" ref="AC13" si="12">U13*R13</f>
        <v>1.1741019952563375E-3</v>
      </c>
      <c r="AD13" s="352">
        <f t="shared" ref="AD13" si="13">U13*S13</f>
        <v>0</v>
      </c>
      <c r="AE13" s="238"/>
    </row>
    <row r="14" spans="2:31" x14ac:dyDescent="0.15">
      <c r="B14" s="238"/>
      <c r="C14" s="239" t="s">
        <v>275</v>
      </c>
      <c r="D14" s="239" t="s">
        <v>276</v>
      </c>
      <c r="E14" s="453">
        <v>112.07</v>
      </c>
      <c r="F14" s="264">
        <v>93.42</v>
      </c>
      <c r="G14" s="358">
        <v>23.917999999999999</v>
      </c>
      <c r="H14" s="265">
        <f t="shared" si="11"/>
        <v>2244.4195599999998</v>
      </c>
      <c r="I14" s="265">
        <f t="shared" si="2"/>
        <v>2680.4902599999996</v>
      </c>
      <c r="J14" s="459">
        <v>2639.8428199999998</v>
      </c>
      <c r="K14" s="265">
        <v>3627.5</v>
      </c>
      <c r="L14" s="265">
        <v>3627.5</v>
      </c>
      <c r="M14" s="265">
        <v>2639.8428199999998</v>
      </c>
      <c r="N14" s="276"/>
      <c r="O14" s="348">
        <f t="shared" si="7"/>
        <v>436.07069999999976</v>
      </c>
      <c r="P14" s="346">
        <f t="shared" si="8"/>
        <v>0.19429107987278438</v>
      </c>
      <c r="Q14" s="346">
        <f t="shared" si="5"/>
        <v>1.5397674320624777E-2</v>
      </c>
      <c r="R14" s="346">
        <f t="shared" si="3"/>
        <v>1.5397674320624777E-2</v>
      </c>
      <c r="S14" s="346"/>
      <c r="T14" s="347" t="s">
        <v>89</v>
      </c>
      <c r="U14" s="349">
        <f t="shared" si="0"/>
        <v>3.5741459088997285E-2</v>
      </c>
      <c r="V14" s="350"/>
      <c r="W14" s="268"/>
      <c r="X14" s="350"/>
      <c r="Y14" s="351"/>
      <c r="Z14" s="269"/>
      <c r="AA14" s="277"/>
      <c r="AB14" s="252"/>
      <c r="AC14" s="352">
        <f t="shared" si="6"/>
        <v>5.5033534679631453E-4</v>
      </c>
      <c r="AD14" s="352">
        <f t="shared" si="4"/>
        <v>0</v>
      </c>
      <c r="AE14" s="238"/>
    </row>
    <row r="15" spans="2:31" x14ac:dyDescent="0.15">
      <c r="B15" s="238"/>
      <c r="C15" s="239" t="s">
        <v>304</v>
      </c>
      <c r="D15" s="239" t="s">
        <v>300</v>
      </c>
      <c r="E15" s="453">
        <v>106.04</v>
      </c>
      <c r="F15" s="264">
        <v>78.22</v>
      </c>
      <c r="G15" s="358">
        <v>20</v>
      </c>
      <c r="H15" s="265">
        <f t="shared" si="11"/>
        <v>1574.4</v>
      </c>
      <c r="I15" s="265">
        <f t="shared" si="2"/>
        <v>2120.8000000000002</v>
      </c>
      <c r="J15" s="459">
        <v>2125</v>
      </c>
      <c r="K15" s="265"/>
      <c r="L15" s="265"/>
      <c r="M15" s="265">
        <v>2125</v>
      </c>
      <c r="N15" s="276"/>
      <c r="O15" s="348">
        <f t="shared" si="7"/>
        <v>546.40000000000009</v>
      </c>
      <c r="P15" s="346">
        <f t="shared" si="8"/>
        <v>0.34705284552845539</v>
      </c>
      <c r="Q15" s="346">
        <f t="shared" si="5"/>
        <v>-1.9764705882352462E-3</v>
      </c>
      <c r="R15" s="346">
        <f t="shared" si="3"/>
        <v>-1.9764705882352462E-3</v>
      </c>
      <c r="S15" s="346"/>
      <c r="T15" s="347" t="s">
        <v>91</v>
      </c>
      <c r="U15" s="349">
        <f t="shared" si="0"/>
        <v>2.8278590512746525E-2</v>
      </c>
      <c r="V15" s="350"/>
      <c r="W15" s="268"/>
      <c r="X15" s="350"/>
      <c r="Y15" s="351"/>
      <c r="Z15" s="351"/>
      <c r="AA15" s="277"/>
      <c r="AB15" s="347"/>
      <c r="AC15" s="352"/>
      <c r="AD15" s="352">
        <f t="shared" si="4"/>
        <v>0</v>
      </c>
      <c r="AE15" s="238"/>
    </row>
    <row r="16" spans="2:31" x14ac:dyDescent="0.15">
      <c r="B16" s="238"/>
      <c r="C16" s="239" t="s">
        <v>313</v>
      </c>
      <c r="D16" s="239" t="s">
        <v>314</v>
      </c>
      <c r="E16" s="453">
        <v>31.3</v>
      </c>
      <c r="F16" s="264">
        <v>29.8</v>
      </c>
      <c r="G16" s="358">
        <v>100</v>
      </c>
      <c r="H16" s="265">
        <f t="shared" si="11"/>
        <v>2990</v>
      </c>
      <c r="I16" s="265">
        <f t="shared" si="2"/>
        <v>3130</v>
      </c>
      <c r="J16" s="459">
        <v>3173</v>
      </c>
      <c r="K16" s="265"/>
      <c r="L16" s="265"/>
      <c r="M16" s="265">
        <v>3173</v>
      </c>
      <c r="N16" s="276"/>
      <c r="O16" s="348">
        <f t="shared" ref="O16" si="14">I16-H16</f>
        <v>140</v>
      </c>
      <c r="P16" s="346">
        <f t="shared" ref="P16" si="15">(I16/H16)-1</f>
        <v>4.6822742474916357E-2</v>
      </c>
      <c r="Q16" s="346">
        <f t="shared" si="5"/>
        <v>-1.3551843681058884E-2</v>
      </c>
      <c r="R16" s="346">
        <f t="shared" ref="R16" si="16">(I16/J16)-1</f>
        <v>-1.3551843681058884E-2</v>
      </c>
      <c r="S16" s="346"/>
      <c r="T16" s="347" t="s">
        <v>129</v>
      </c>
      <c r="U16" s="349">
        <f t="shared" si="0"/>
        <v>4.1735188751837335E-2</v>
      </c>
      <c r="V16" s="350"/>
      <c r="W16" s="268"/>
      <c r="X16" s="350"/>
      <c r="Y16" s="351"/>
      <c r="Z16" s="351"/>
      <c r="AA16" s="277"/>
      <c r="AB16" s="347"/>
      <c r="AC16" s="352"/>
      <c r="AD16" s="352"/>
      <c r="AE16" s="238"/>
    </row>
    <row r="17" spans="2:31" x14ac:dyDescent="0.15">
      <c r="B17" s="238"/>
      <c r="C17" s="239" t="s">
        <v>305</v>
      </c>
      <c r="D17" s="239" t="s">
        <v>301</v>
      </c>
      <c r="E17" s="453">
        <v>57.15</v>
      </c>
      <c r="F17" s="264">
        <v>51.83</v>
      </c>
      <c r="G17" s="358">
        <v>283.24900000000002</v>
      </c>
      <c r="H17" s="265">
        <f t="shared" si="11"/>
        <v>14690.795670000001</v>
      </c>
      <c r="I17" s="265">
        <f t="shared" si="2"/>
        <v>16187.680350000001</v>
      </c>
      <c r="J17" s="459">
        <v>16057.533799999999</v>
      </c>
      <c r="K17" s="265"/>
      <c r="L17" s="265"/>
      <c r="M17" s="265">
        <v>16057.533799999999</v>
      </c>
      <c r="N17" s="276"/>
      <c r="O17" s="348">
        <f t="shared" si="7"/>
        <v>1496.8846799999992</v>
      </c>
      <c r="P17" s="346">
        <f t="shared" si="8"/>
        <v>0.10189268938351503</v>
      </c>
      <c r="Q17" s="346">
        <f t="shared" si="5"/>
        <v>8.1050148560173341E-3</v>
      </c>
      <c r="R17" s="346">
        <f t="shared" si="3"/>
        <v>8.1050148560173341E-3</v>
      </c>
      <c r="S17" s="346"/>
      <c r="T17" s="347" t="s">
        <v>2</v>
      </c>
      <c r="U17" s="349">
        <f t="shared" si="0"/>
        <v>0.21584533382161605</v>
      </c>
      <c r="V17" s="350"/>
      <c r="W17" s="268"/>
      <c r="X17" s="350"/>
      <c r="Y17" s="351"/>
      <c r="Z17" s="351"/>
      <c r="AA17" s="277"/>
      <c r="AB17" s="347"/>
      <c r="AC17" s="352"/>
      <c r="AD17" s="352">
        <f t="shared" si="4"/>
        <v>0</v>
      </c>
      <c r="AE17" s="238"/>
    </row>
    <row r="18" spans="2:31" x14ac:dyDescent="0.15">
      <c r="B18" s="238"/>
      <c r="C18" s="239" t="s">
        <v>319</v>
      </c>
      <c r="D18" s="239" t="s">
        <v>315</v>
      </c>
      <c r="E18" s="453">
        <v>184.5</v>
      </c>
      <c r="F18" s="264">
        <v>174.23840000000001</v>
      </c>
      <c r="G18" s="358">
        <v>20</v>
      </c>
      <c r="H18" s="265">
        <f t="shared" si="11"/>
        <v>3494.768</v>
      </c>
      <c r="I18" s="265">
        <f t="shared" si="2"/>
        <v>3690</v>
      </c>
      <c r="J18" s="459">
        <v>3678.6000000000004</v>
      </c>
      <c r="K18" s="265"/>
      <c r="L18" s="265"/>
      <c r="M18" s="265">
        <v>3678.6000000000004</v>
      </c>
      <c r="N18" s="276"/>
      <c r="O18" s="348">
        <f t="shared" si="7"/>
        <v>195.23199999999997</v>
      </c>
      <c r="P18" s="346">
        <f t="shared" si="8"/>
        <v>5.5864080247959302E-2</v>
      </c>
      <c r="Q18" s="346">
        <f t="shared" si="5"/>
        <v>3.0990050562713645E-3</v>
      </c>
      <c r="R18" s="346">
        <f t="shared" si="3"/>
        <v>3.0990050562713645E-3</v>
      </c>
      <c r="S18" s="346"/>
      <c r="T18" s="347" t="s">
        <v>89</v>
      </c>
      <c r="U18" s="349">
        <f t="shared" si="0"/>
        <v>4.920218737836414E-2</v>
      </c>
      <c r="V18" s="350"/>
      <c r="W18" s="268"/>
      <c r="X18" s="350"/>
      <c r="Y18" s="351"/>
      <c r="Z18" s="351"/>
      <c r="AA18" s="277"/>
      <c r="AB18" s="347"/>
      <c r="AC18" s="352"/>
      <c r="AD18" s="352"/>
      <c r="AE18" s="238"/>
    </row>
    <row r="19" spans="2:31" x14ac:dyDescent="0.15">
      <c r="B19" s="238"/>
      <c r="C19" s="239" t="s">
        <v>321</v>
      </c>
      <c r="D19" s="239" t="s">
        <v>317</v>
      </c>
      <c r="E19" s="453">
        <v>92</v>
      </c>
      <c r="F19" s="264">
        <v>89.329700000000003</v>
      </c>
      <c r="G19" s="358">
        <v>50</v>
      </c>
      <c r="H19" s="265">
        <f t="shared" si="11"/>
        <v>4476.4850000000006</v>
      </c>
      <c r="I19" s="265">
        <f t="shared" si="2"/>
        <v>4600</v>
      </c>
      <c r="J19" s="459">
        <v>4631</v>
      </c>
      <c r="K19" s="265"/>
      <c r="L19" s="265"/>
      <c r="M19" s="265">
        <v>4631</v>
      </c>
      <c r="N19" s="276"/>
      <c r="O19" s="348">
        <f t="shared" si="7"/>
        <v>123.51499999999942</v>
      </c>
      <c r="P19" s="346">
        <f t="shared" si="8"/>
        <v>2.7591961103410334E-2</v>
      </c>
      <c r="Q19" s="346">
        <f t="shared" si="5"/>
        <v>-6.694018570503113E-3</v>
      </c>
      <c r="R19" s="346">
        <f t="shared" si="3"/>
        <v>-6.694018570503113E-3</v>
      </c>
      <c r="S19" s="346"/>
      <c r="T19" s="347" t="s">
        <v>2</v>
      </c>
      <c r="U19" s="349">
        <f t="shared" si="0"/>
        <v>6.1336060146470202E-2</v>
      </c>
      <c r="V19" s="350"/>
      <c r="W19" s="268"/>
      <c r="X19" s="350"/>
      <c r="Y19" s="351"/>
      <c r="Z19" s="351"/>
      <c r="AA19" s="277"/>
      <c r="AB19" s="347"/>
      <c r="AC19" s="352"/>
      <c r="AD19" s="352"/>
      <c r="AE19" s="238"/>
    </row>
    <row r="20" spans="2:31" x14ac:dyDescent="0.15">
      <c r="B20" s="238"/>
      <c r="C20" s="239"/>
      <c r="D20" s="239"/>
      <c r="E20" s="453"/>
      <c r="F20" s="264"/>
      <c r="G20" s="358"/>
      <c r="H20" s="265"/>
      <c r="I20" s="265"/>
      <c r="J20" s="459"/>
      <c r="K20" s="265"/>
      <c r="L20" s="265"/>
      <c r="M20" s="265"/>
      <c r="N20" s="276"/>
      <c r="O20" s="348"/>
      <c r="P20" s="346"/>
      <c r="Q20" s="346"/>
      <c r="R20" s="346"/>
      <c r="S20" s="346"/>
      <c r="T20" s="347"/>
      <c r="U20" s="349"/>
      <c r="V20" s="350"/>
      <c r="W20" s="268"/>
      <c r="X20" s="350"/>
      <c r="Y20" s="351"/>
      <c r="Z20" s="351"/>
      <c r="AA20" s="277"/>
      <c r="AB20" s="347"/>
      <c r="AC20" s="352"/>
      <c r="AD20" s="352"/>
      <c r="AE20" s="238"/>
    </row>
    <row r="21" spans="2:31" ht="3.75" customHeight="1" x14ac:dyDescent="0.15">
      <c r="B21" s="238"/>
      <c r="C21" s="239"/>
      <c r="D21" s="239"/>
      <c r="E21" s="264"/>
      <c r="F21" s="433"/>
      <c r="G21" s="434"/>
      <c r="H21" s="435"/>
      <c r="I21" s="435"/>
      <c r="J21" s="436"/>
      <c r="K21" s="436"/>
      <c r="L21" s="436"/>
      <c r="M21" s="436"/>
      <c r="N21" s="437"/>
      <c r="O21" s="348"/>
      <c r="P21" s="346"/>
      <c r="Q21" s="346"/>
      <c r="R21" s="346"/>
      <c r="S21" s="346"/>
      <c r="T21" s="347"/>
      <c r="U21" s="349"/>
      <c r="V21" s="350"/>
      <c r="W21" s="268"/>
      <c r="X21" s="350"/>
      <c r="Y21" s="351"/>
      <c r="Z21" s="351"/>
      <c r="AA21" s="277"/>
      <c r="AB21" s="347"/>
      <c r="AC21" s="352"/>
      <c r="AD21" s="352"/>
      <c r="AE21" s="238"/>
    </row>
    <row r="22" spans="2:31" x14ac:dyDescent="0.15">
      <c r="B22" s="238"/>
      <c r="C22" s="239"/>
      <c r="D22" s="239"/>
      <c r="E22" s="438"/>
      <c r="F22" s="438"/>
      <c r="G22" s="438"/>
      <c r="H22" s="439">
        <f>SUM(H4:H19)</f>
        <v>52319.247260000004</v>
      </c>
      <c r="I22" s="460">
        <f>SUM(I4:I19)</f>
        <v>74996.665729999993</v>
      </c>
      <c r="J22" s="461">
        <f>SUM(J4:J19)</f>
        <v>74320.776440000001</v>
      </c>
      <c r="K22" s="439">
        <v>40381.870389354226</v>
      </c>
      <c r="L22" s="439">
        <v>46519.793840000006</v>
      </c>
      <c r="M22" s="439">
        <f>SUM(M4:M19)</f>
        <v>74320.776440000001</v>
      </c>
      <c r="N22" s="440"/>
      <c r="O22" s="441">
        <f>SUM(O5:O19)</f>
        <v>13375.048469999996</v>
      </c>
      <c r="P22" s="442">
        <f>(I22/H22)-1</f>
        <v>0.43344313340948459</v>
      </c>
      <c r="Q22" s="442">
        <f>(I22/M22)-1</f>
        <v>9.0942172885619676E-3</v>
      </c>
      <c r="R22" s="442">
        <f>(I22/J22)-1</f>
        <v>9.0942172885619676E-3</v>
      </c>
      <c r="S22" s="442">
        <f>AD22</f>
        <v>3.3982771043759383E-6</v>
      </c>
      <c r="T22" s="407"/>
      <c r="U22" s="407">
        <f>SUM(U4:U19)</f>
        <v>1.0000000000000002</v>
      </c>
      <c r="V22" s="407"/>
      <c r="W22" s="407"/>
      <c r="X22" s="407"/>
      <c r="Y22" s="407"/>
      <c r="Z22" s="407"/>
      <c r="AA22" s="408"/>
      <c r="AB22" s="407"/>
      <c r="AC22" s="409">
        <f>SUM(AC4:AC14)</f>
        <v>8.9731346973301335E-3</v>
      </c>
      <c r="AD22" s="409">
        <f>SUM(AD4:AD17)</f>
        <v>3.3982771043759383E-6</v>
      </c>
      <c r="AE22" s="238"/>
    </row>
    <row r="23" spans="2:31" x14ac:dyDescent="0.15">
      <c r="B23" s="238"/>
      <c r="C23" s="239"/>
      <c r="D23" s="239"/>
      <c r="E23" s="336"/>
      <c r="F23" s="336"/>
      <c r="G23" s="336"/>
      <c r="H23" s="456"/>
      <c r="I23" s="456"/>
      <c r="J23" s="456"/>
      <c r="K23" s="456"/>
      <c r="L23" s="456"/>
      <c r="M23" s="456"/>
      <c r="N23" s="457"/>
      <c r="O23" s="348"/>
      <c r="P23" s="346"/>
      <c r="Q23" s="346"/>
      <c r="R23" s="346"/>
      <c r="S23" s="346"/>
      <c r="T23" s="347"/>
      <c r="U23" s="347"/>
      <c r="V23" s="347"/>
      <c r="W23" s="347"/>
      <c r="X23" s="347"/>
      <c r="Y23" s="347"/>
      <c r="Z23" s="347"/>
      <c r="AA23" s="273"/>
      <c r="AB23" s="347"/>
      <c r="AC23" s="352"/>
      <c r="AD23" s="352"/>
      <c r="AE23" s="238"/>
    </row>
    <row r="24" spans="2:31" x14ac:dyDescent="0.15">
      <c r="B24" s="238"/>
      <c r="C24" s="239"/>
      <c r="D24" s="239"/>
      <c r="E24" s="336"/>
      <c r="F24" s="336"/>
      <c r="G24" s="336"/>
      <c r="H24" s="456"/>
      <c r="I24" s="456"/>
      <c r="J24" s="456"/>
      <c r="K24" s="456"/>
      <c r="L24" s="456"/>
      <c r="M24" s="456"/>
      <c r="N24" s="457"/>
      <c r="O24" s="348"/>
      <c r="P24" s="346"/>
      <c r="Q24" s="346"/>
      <c r="R24" s="346"/>
      <c r="S24" s="346"/>
      <c r="T24" s="347"/>
      <c r="U24" s="347"/>
      <c r="V24" s="347"/>
      <c r="W24" s="347"/>
      <c r="X24" s="347"/>
      <c r="Y24" s="347"/>
      <c r="Z24" s="347"/>
      <c r="AA24" s="273"/>
      <c r="AB24" s="347"/>
      <c r="AC24" s="352"/>
      <c r="AD24" s="352"/>
      <c r="AE24" s="238"/>
    </row>
    <row r="25" spans="2:31" x14ac:dyDescent="0.15">
      <c r="B25" s="238"/>
      <c r="C25" s="239"/>
      <c r="D25" s="239"/>
      <c r="E25" s="336"/>
      <c r="F25" s="336"/>
      <c r="G25" s="336"/>
      <c r="H25" s="456"/>
      <c r="I25" s="456"/>
      <c r="J25" s="456"/>
      <c r="K25" s="456"/>
      <c r="L25" s="456"/>
      <c r="M25" s="456"/>
      <c r="N25" s="457"/>
      <c r="O25" s="348"/>
      <c r="P25" s="346"/>
      <c r="Q25" s="346"/>
      <c r="R25" s="346"/>
      <c r="S25" s="346"/>
      <c r="T25" s="347"/>
      <c r="U25" s="347"/>
      <c r="V25" s="347"/>
      <c r="W25" s="347"/>
      <c r="X25" s="347"/>
      <c r="Y25" s="347"/>
      <c r="Z25" s="347"/>
      <c r="AA25" s="273"/>
      <c r="AB25" s="347"/>
      <c r="AC25" s="352"/>
      <c r="AD25" s="352"/>
      <c r="AE25" s="238"/>
    </row>
    <row r="26" spans="2:31" x14ac:dyDescent="0.15">
      <c r="B26" s="238"/>
      <c r="C26" s="238"/>
      <c r="D26" s="238"/>
      <c r="E26" s="238"/>
      <c r="F26" s="238"/>
      <c r="G26" s="238"/>
      <c r="H26" s="338"/>
      <c r="I26" s="338"/>
      <c r="J26" s="338"/>
      <c r="K26" s="338"/>
      <c r="L26" s="338"/>
      <c r="M26" s="338"/>
      <c r="N26" s="280"/>
      <c r="O26" s="266"/>
      <c r="P26" s="236"/>
      <c r="Q26" s="346"/>
      <c r="R26" s="236"/>
      <c r="S26" s="236"/>
      <c r="T26" s="238"/>
      <c r="U26" s="252"/>
      <c r="V26" s="252"/>
      <c r="W26" s="252"/>
      <c r="X26" s="252"/>
      <c r="Y26" s="252"/>
      <c r="Z26" s="252"/>
      <c r="AA26" s="273"/>
      <c r="AB26" s="252"/>
      <c r="AC26" s="272"/>
      <c r="AD26" s="272"/>
      <c r="AE26" s="238"/>
    </row>
    <row r="27" spans="2:31" x14ac:dyDescent="0.15">
      <c r="B27" s="238"/>
      <c r="C27" s="238"/>
      <c r="D27" s="238"/>
      <c r="E27" s="238"/>
      <c r="F27" s="238"/>
      <c r="G27" s="238"/>
      <c r="H27" s="238"/>
      <c r="I27" s="238"/>
      <c r="J27" s="265"/>
      <c r="K27" s="238"/>
      <c r="L27" s="238"/>
      <c r="M27" s="265"/>
      <c r="O27" s="255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B27" s="238"/>
      <c r="AC27" s="238"/>
      <c r="AD27" s="238"/>
      <c r="AE27" s="238"/>
    </row>
    <row r="28" spans="2:31" x14ac:dyDescent="0.15">
      <c r="B28" s="238"/>
      <c r="C28" s="504" t="s">
        <v>282</v>
      </c>
      <c r="D28" s="504"/>
      <c r="E28" s="509" t="s">
        <v>178</v>
      </c>
      <c r="F28" s="510"/>
      <c r="G28" s="278"/>
      <c r="H28" s="271" t="s">
        <v>179</v>
      </c>
      <c r="I28" s="271" t="s">
        <v>171</v>
      </c>
      <c r="J28" s="446" t="s">
        <v>125</v>
      </c>
      <c r="K28" s="238"/>
      <c r="L28" s="365"/>
      <c r="M28" s="338"/>
      <c r="N28" s="281"/>
      <c r="O28" s="484" t="s">
        <v>324</v>
      </c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B28" s="238"/>
      <c r="AC28" s="238"/>
      <c r="AD28" s="238"/>
      <c r="AE28" s="238"/>
    </row>
    <row r="29" spans="2:31" ht="16" x14ac:dyDescent="0.3">
      <c r="B29" s="238"/>
      <c r="C29" s="239" t="s">
        <v>287</v>
      </c>
      <c r="D29" s="239" t="s">
        <v>286</v>
      </c>
      <c r="E29" s="505">
        <v>42209</v>
      </c>
      <c r="F29" s="505"/>
      <c r="G29" s="238"/>
      <c r="H29" s="263">
        <v>116.8</v>
      </c>
      <c r="I29" s="475">
        <v>61.81</v>
      </c>
      <c r="J29" s="346">
        <f t="shared" ref="J29:J33" si="17">(I29-H29)/H29</f>
        <v>-0.47080479452054791</v>
      </c>
      <c r="K29" s="238"/>
      <c r="L29" s="346"/>
      <c r="M29" s="435"/>
      <c r="N29" s="237"/>
      <c r="O29" s="238"/>
      <c r="P29" s="238"/>
      <c r="Q29" s="485" t="s">
        <v>326</v>
      </c>
      <c r="R29" s="238"/>
      <c r="S29" s="238"/>
      <c r="T29" s="238"/>
      <c r="U29" s="238"/>
      <c r="V29" s="238"/>
      <c r="W29" s="238"/>
      <c r="X29" s="238"/>
      <c r="Y29" s="238"/>
      <c r="Z29" s="238"/>
      <c r="AB29" s="238"/>
      <c r="AC29" s="238"/>
      <c r="AD29" s="238"/>
      <c r="AE29" s="238"/>
    </row>
    <row r="30" spans="2:31" x14ac:dyDescent="0.15">
      <c r="B30" s="238"/>
      <c r="C30" s="239" t="s">
        <v>289</v>
      </c>
      <c r="D30" s="239" t="s">
        <v>288</v>
      </c>
      <c r="E30" s="505">
        <v>42216</v>
      </c>
      <c r="F30" s="505"/>
      <c r="G30" s="238"/>
      <c r="H30" s="263">
        <v>113.73</v>
      </c>
      <c r="I30" s="475">
        <v>114.56</v>
      </c>
      <c r="J30" s="346">
        <f t="shared" si="17"/>
        <v>7.2979864591576392E-3</v>
      </c>
      <c r="K30" s="238"/>
      <c r="L30" s="346"/>
      <c r="M30" s="435"/>
      <c r="N30" s="237"/>
      <c r="O30" s="238" t="s">
        <v>47</v>
      </c>
      <c r="P30" s="238"/>
      <c r="Q30" s="487">
        <f>U4</f>
        <v>0.12403711430972175</v>
      </c>
      <c r="R30" s="238"/>
      <c r="S30" s="238"/>
      <c r="T30" s="238"/>
      <c r="U30" s="238"/>
      <c r="V30" s="238"/>
      <c r="W30" s="238"/>
      <c r="X30" s="238"/>
      <c r="Y30" s="238"/>
      <c r="Z30" s="238"/>
      <c r="AB30" s="238"/>
      <c r="AC30" s="238"/>
      <c r="AD30" s="238"/>
      <c r="AE30" s="238"/>
    </row>
    <row r="31" spans="2:31" x14ac:dyDescent="0.15">
      <c r="B31" s="238"/>
      <c r="C31" s="239" t="s">
        <v>290</v>
      </c>
      <c r="D31" s="239" t="s">
        <v>291</v>
      </c>
      <c r="E31" s="505">
        <v>42265</v>
      </c>
      <c r="F31" s="505"/>
      <c r="G31" s="238"/>
      <c r="H31" s="263">
        <f>$F$8</f>
        <v>20.764700000000001</v>
      </c>
      <c r="I31" s="475">
        <f>$E$8</f>
        <v>22.49</v>
      </c>
      <c r="J31" s="346">
        <f t="shared" si="17"/>
        <v>8.3088125520715303E-2</v>
      </c>
      <c r="K31" s="238"/>
      <c r="L31" s="346"/>
      <c r="M31" s="435"/>
      <c r="N31" s="237"/>
      <c r="O31" s="238" t="s">
        <v>2</v>
      </c>
      <c r="P31" s="238"/>
      <c r="Q31" s="487">
        <f>U5+U6+U12+U17+U19</f>
        <v>0.39278458026456586</v>
      </c>
      <c r="R31" s="238"/>
      <c r="S31" s="238"/>
      <c r="T31" s="238"/>
      <c r="U31" s="238"/>
      <c r="V31" s="238"/>
      <c r="W31" s="238"/>
      <c r="X31" s="238"/>
      <c r="Y31" s="238"/>
      <c r="Z31" s="238"/>
      <c r="AB31" s="238"/>
      <c r="AC31" s="238"/>
      <c r="AD31" s="238"/>
      <c r="AE31" s="238"/>
    </row>
    <row r="32" spans="2:31" x14ac:dyDescent="0.15">
      <c r="B32" s="238"/>
      <c r="C32" s="239" t="s">
        <v>292</v>
      </c>
      <c r="D32" s="239" t="s">
        <v>293</v>
      </c>
      <c r="E32" s="505">
        <v>42275</v>
      </c>
      <c r="F32" s="505"/>
      <c r="G32" s="238"/>
      <c r="H32" s="263" t="e">
        <f>#REF!</f>
        <v>#REF!</v>
      </c>
      <c r="I32" s="475" t="e">
        <f>#REF!</f>
        <v>#REF!</v>
      </c>
      <c r="J32" s="346" t="e">
        <f t="shared" si="17"/>
        <v>#REF!</v>
      </c>
      <c r="K32" s="238"/>
      <c r="L32" s="346"/>
      <c r="M32" s="435"/>
      <c r="N32" s="237"/>
      <c r="O32" s="238" t="s">
        <v>306</v>
      </c>
      <c r="P32" s="238"/>
      <c r="Q32" s="487">
        <f>U7+U10+U15</f>
        <v>0.12414383852101954</v>
      </c>
      <c r="R32" s="238"/>
      <c r="S32" s="238"/>
      <c r="T32" s="238"/>
      <c r="U32" s="238"/>
      <c r="V32" s="238"/>
      <c r="W32" s="238"/>
      <c r="X32" s="238"/>
      <c r="Y32" s="238"/>
      <c r="Z32" s="238"/>
      <c r="AB32" s="238"/>
      <c r="AC32" s="238"/>
      <c r="AD32" s="238"/>
      <c r="AE32" s="238"/>
    </row>
    <row r="33" spans="2:31" x14ac:dyDescent="0.15">
      <c r="B33" s="238"/>
      <c r="C33" s="239" t="s">
        <v>294</v>
      </c>
      <c r="D33" s="239" t="s">
        <v>295</v>
      </c>
      <c r="E33" s="506">
        <v>42289</v>
      </c>
      <c r="F33" s="506"/>
      <c r="G33" s="238"/>
      <c r="H33" s="263">
        <v>23.04</v>
      </c>
      <c r="I33" s="475">
        <v>19.760000000000002</v>
      </c>
      <c r="J33" s="346">
        <f t="shared" si="17"/>
        <v>-0.14236111111111102</v>
      </c>
      <c r="K33" s="238"/>
      <c r="L33" s="346"/>
      <c r="M33" s="435"/>
      <c r="N33" s="237"/>
      <c r="O33" s="238" t="s">
        <v>89</v>
      </c>
      <c r="P33" s="238"/>
      <c r="Q33" s="487">
        <f>U8+U9+U14+U18</f>
        <v>0.23797115786790057</v>
      </c>
      <c r="R33" s="238"/>
      <c r="S33" s="238"/>
      <c r="T33" s="238"/>
      <c r="U33" s="238"/>
      <c r="V33" s="238"/>
      <c r="W33" s="238"/>
      <c r="X33" s="238"/>
      <c r="Y33" s="238"/>
      <c r="Z33" s="238"/>
      <c r="AB33" s="238"/>
      <c r="AC33" s="238"/>
      <c r="AD33" s="238"/>
      <c r="AE33" s="238"/>
    </row>
    <row r="34" spans="2:31" x14ac:dyDescent="0.1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358"/>
      <c r="O34" s="238" t="s">
        <v>325</v>
      </c>
      <c r="P34" s="238"/>
      <c r="Q34" s="487">
        <f>U16+U13+U11</f>
        <v>0.12106330903679231</v>
      </c>
      <c r="R34" s="238"/>
      <c r="S34" s="238"/>
      <c r="T34" s="238"/>
      <c r="U34" s="238"/>
      <c r="V34" s="238"/>
      <c r="W34" s="238"/>
      <c r="X34" s="238"/>
      <c r="Y34" s="238"/>
      <c r="Z34" s="238"/>
      <c r="AB34" s="238"/>
      <c r="AC34" s="238"/>
      <c r="AD34" s="238"/>
      <c r="AE34" s="238"/>
    </row>
    <row r="35" spans="2:31" x14ac:dyDescent="0.15">
      <c r="B35" s="238"/>
      <c r="C35" s="504" t="s">
        <v>229</v>
      </c>
      <c r="D35" s="504"/>
      <c r="E35" s="509" t="s">
        <v>172</v>
      </c>
      <c r="F35" s="510"/>
      <c r="G35" s="278"/>
      <c r="H35" s="271" t="s">
        <v>198</v>
      </c>
      <c r="I35" s="271" t="s">
        <v>171</v>
      </c>
      <c r="J35" s="446" t="s">
        <v>125</v>
      </c>
      <c r="K35" s="238"/>
      <c r="L35" s="343"/>
      <c r="M35" s="338"/>
      <c r="N35" s="281"/>
      <c r="O35" s="238" t="s">
        <v>128</v>
      </c>
      <c r="P35" s="238"/>
      <c r="Q35" s="489">
        <v>0</v>
      </c>
      <c r="R35" s="238"/>
      <c r="S35" s="238"/>
      <c r="T35" s="238"/>
      <c r="U35" s="238"/>
      <c r="V35" s="238"/>
      <c r="W35" s="238"/>
      <c r="X35" s="238"/>
      <c r="Y35" s="238"/>
      <c r="Z35" s="238"/>
      <c r="AB35" s="238"/>
      <c r="AC35" s="238"/>
      <c r="AD35" s="238"/>
      <c r="AE35" s="238"/>
    </row>
    <row r="36" spans="2:31" x14ac:dyDescent="0.15">
      <c r="B36" s="238"/>
      <c r="C36" s="239" t="s">
        <v>209</v>
      </c>
      <c r="D36" s="239" t="str">
        <f>Transactions!D173</f>
        <v>YHOO</v>
      </c>
      <c r="E36" s="506">
        <f>Transactions!B173</f>
        <v>42173</v>
      </c>
      <c r="F36" s="506"/>
      <c r="G36" s="238"/>
      <c r="H36" s="263">
        <f>Transactions!$E$173</f>
        <v>41.14</v>
      </c>
      <c r="I36" s="263">
        <v>30.16</v>
      </c>
      <c r="J36" s="346">
        <f t="shared" ref="J36:J45" si="18">(I36-H36)/H36</f>
        <v>-0.26689353427321344</v>
      </c>
      <c r="K36" s="238"/>
      <c r="L36" s="346"/>
      <c r="M36" s="238"/>
      <c r="N36" s="237"/>
      <c r="O36" s="238"/>
      <c r="P36" s="486" t="s">
        <v>145</v>
      </c>
      <c r="Q36" s="488">
        <f>SUM(Q30:Q35)</f>
        <v>1</v>
      </c>
      <c r="R36" s="238"/>
      <c r="S36" s="238"/>
      <c r="T36" s="238"/>
      <c r="U36" s="238"/>
      <c r="V36" s="238"/>
      <c r="W36" s="238"/>
      <c r="X36" s="238"/>
      <c r="Y36" s="238"/>
      <c r="Z36" s="238"/>
      <c r="AB36" s="238"/>
      <c r="AC36" s="238"/>
      <c r="AD36" s="238"/>
      <c r="AE36" s="238"/>
    </row>
    <row r="37" spans="2:31" x14ac:dyDescent="0.15">
      <c r="B37" s="238"/>
      <c r="C37" s="239" t="s">
        <v>283</v>
      </c>
      <c r="D37" s="239" t="str">
        <f>Transactions!D175</f>
        <v>TLT</v>
      </c>
      <c r="E37" s="506">
        <f>Transactions!B175</f>
        <v>42187</v>
      </c>
      <c r="F37" s="506"/>
      <c r="G37" s="470"/>
      <c r="H37" s="472">
        <f>Transactions!$E$175</f>
        <v>116.44</v>
      </c>
      <c r="I37" s="263">
        <v>122.81</v>
      </c>
      <c r="J37" s="346">
        <f t="shared" si="18"/>
        <v>5.4706286499484752E-2</v>
      </c>
      <c r="K37" s="238"/>
      <c r="L37" s="346"/>
      <c r="M37" s="238"/>
      <c r="N37" s="237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B37" s="238"/>
      <c r="AC37" s="238"/>
      <c r="AD37" s="238"/>
      <c r="AE37" s="238"/>
    </row>
    <row r="38" spans="2:31" x14ac:dyDescent="0.15">
      <c r="B38" s="238"/>
      <c r="C38" s="239" t="s">
        <v>277</v>
      </c>
      <c r="D38" s="239" t="s">
        <v>278</v>
      </c>
      <c r="E38" s="506">
        <f>Transactions!B177</f>
        <v>42187</v>
      </c>
      <c r="F38" s="506"/>
      <c r="G38" s="238"/>
      <c r="H38" s="263">
        <f>Transactions!$E$177</f>
        <v>27.86</v>
      </c>
      <c r="I38" s="263">
        <v>18.350000000000001</v>
      </c>
      <c r="J38" s="346">
        <f t="shared" si="18"/>
        <v>-0.34134960516870055</v>
      </c>
      <c r="K38" s="238"/>
      <c r="L38" s="346"/>
      <c r="M38" s="238"/>
      <c r="N38" s="237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B38" s="238"/>
      <c r="AC38" s="238"/>
      <c r="AD38" s="238"/>
      <c r="AE38" s="238"/>
    </row>
    <row r="39" spans="2:31" x14ac:dyDescent="0.15">
      <c r="B39" s="238"/>
      <c r="C39" s="239" t="s">
        <v>273</v>
      </c>
      <c r="D39" s="239" t="s">
        <v>274</v>
      </c>
      <c r="E39" s="506">
        <f>Transactions!B179</f>
        <v>42187</v>
      </c>
      <c r="F39" s="506"/>
      <c r="G39" s="238"/>
      <c r="H39" s="263">
        <f>Transactions!$E$179</f>
        <v>100.32</v>
      </c>
      <c r="I39" s="263">
        <v>50.34</v>
      </c>
      <c r="J39" s="346">
        <f t="shared" si="18"/>
        <v>-0.49820574162679421</v>
      </c>
      <c r="K39" s="238"/>
      <c r="L39" s="346"/>
      <c r="M39" s="238"/>
      <c r="N39" s="237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B39" s="238"/>
      <c r="AC39" s="238"/>
      <c r="AD39" s="238"/>
      <c r="AE39" s="238"/>
    </row>
    <row r="40" spans="2:31" x14ac:dyDescent="0.15">
      <c r="B40" s="238"/>
      <c r="C40" s="239" t="s">
        <v>289</v>
      </c>
      <c r="D40" s="239" t="s">
        <v>288</v>
      </c>
      <c r="E40" s="505">
        <v>42250</v>
      </c>
      <c r="F40" s="505"/>
      <c r="G40" s="238"/>
      <c r="H40" s="263">
        <f>Transactions!$E$185</f>
        <v>102.38</v>
      </c>
      <c r="I40" s="263">
        <f>$I$30</f>
        <v>114.56</v>
      </c>
      <c r="J40" s="346">
        <f t="shared" si="18"/>
        <v>0.1189685485446377</v>
      </c>
      <c r="K40" s="238"/>
      <c r="L40" s="346"/>
      <c r="M40" s="238"/>
      <c r="N40" s="237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B40" s="238"/>
      <c r="AC40" s="238"/>
      <c r="AD40" s="238"/>
      <c r="AE40" s="238"/>
    </row>
    <row r="41" spans="2:31" x14ac:dyDescent="0.15">
      <c r="B41" s="238"/>
      <c r="C41" s="239" t="s">
        <v>296</v>
      </c>
      <c r="D41" s="239" t="s">
        <v>185</v>
      </c>
      <c r="E41" s="505">
        <v>42250</v>
      </c>
      <c r="F41" s="505"/>
      <c r="G41" s="238"/>
      <c r="H41" s="263">
        <f>Transactions!$E$187</f>
        <v>16.63</v>
      </c>
      <c r="I41" s="263">
        <v>15.02</v>
      </c>
      <c r="J41" s="346">
        <f t="shared" si="18"/>
        <v>-9.6812988574864672E-2</v>
      </c>
      <c r="K41" s="238"/>
      <c r="L41" s="346"/>
      <c r="M41" s="238"/>
      <c r="N41" s="237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B41" s="238"/>
      <c r="AC41" s="238"/>
      <c r="AD41" s="238"/>
      <c r="AE41" s="238"/>
    </row>
    <row r="42" spans="2:31" x14ac:dyDescent="0.15">
      <c r="B42" s="238"/>
      <c r="C42" s="239" t="s">
        <v>287</v>
      </c>
      <c r="D42" s="239" t="s">
        <v>286</v>
      </c>
      <c r="E42" s="505">
        <v>42271</v>
      </c>
      <c r="F42" s="505"/>
      <c r="G42" s="238"/>
      <c r="H42" s="263">
        <f>Transactions!$E$191</f>
        <v>100.05</v>
      </c>
      <c r="I42" s="263">
        <f>$I$29</f>
        <v>61.81</v>
      </c>
      <c r="J42" s="346">
        <f t="shared" si="18"/>
        <v>-0.38220889555222387</v>
      </c>
      <c r="K42" s="238"/>
      <c r="L42" s="346"/>
      <c r="M42" s="238"/>
      <c r="N42" s="237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B42" s="238"/>
      <c r="AC42" s="238"/>
      <c r="AD42" s="238"/>
      <c r="AE42" s="238"/>
    </row>
    <row r="43" spans="2:31" x14ac:dyDescent="0.15">
      <c r="B43" s="238"/>
      <c r="C43" s="239" t="s">
        <v>297</v>
      </c>
      <c r="D43" s="239" t="s">
        <v>232</v>
      </c>
      <c r="E43" s="505">
        <v>42275</v>
      </c>
      <c r="F43" s="505"/>
      <c r="G43" s="238"/>
      <c r="H43" s="263">
        <f>Transactions!$E$195</f>
        <v>152.58000000000001</v>
      </c>
      <c r="I43" s="263">
        <v>144.31</v>
      </c>
      <c r="J43" s="346">
        <f t="shared" si="18"/>
        <v>-5.4201074845982501E-2</v>
      </c>
      <c r="K43" s="238"/>
      <c r="L43" s="346"/>
      <c r="M43" s="238"/>
      <c r="N43" s="237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B43" s="238"/>
      <c r="AC43" s="238"/>
      <c r="AD43" s="238"/>
      <c r="AE43" s="238"/>
    </row>
    <row r="44" spans="2:31" x14ac:dyDescent="0.15">
      <c r="B44" s="238"/>
      <c r="C44" s="239" t="s">
        <v>196</v>
      </c>
      <c r="D44" s="239" t="s">
        <v>195</v>
      </c>
      <c r="E44" s="505">
        <v>42286</v>
      </c>
      <c r="F44" s="505"/>
      <c r="G44" s="238"/>
      <c r="H44" s="263">
        <f>Transactions!$E$197</f>
        <v>24.9</v>
      </c>
      <c r="I44" s="263">
        <v>19.86</v>
      </c>
      <c r="J44" s="346">
        <f t="shared" si="18"/>
        <v>-0.20240963855421684</v>
      </c>
      <c r="K44" s="238"/>
      <c r="L44" s="346"/>
      <c r="M44" s="238"/>
      <c r="N44" s="237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B44" s="238"/>
      <c r="AC44" s="238"/>
      <c r="AD44" s="238"/>
      <c r="AE44" s="238"/>
    </row>
    <row r="45" spans="2:31" x14ac:dyDescent="0.15">
      <c r="B45" s="238"/>
      <c r="C45" s="239" t="s">
        <v>294</v>
      </c>
      <c r="D45" s="239" t="s">
        <v>295</v>
      </c>
      <c r="E45" s="505">
        <v>42296</v>
      </c>
      <c r="F45" s="505"/>
      <c r="G45" s="238"/>
      <c r="H45" s="263">
        <v>25.26</v>
      </c>
      <c r="I45" s="263">
        <f>$I$33</f>
        <v>19.760000000000002</v>
      </c>
      <c r="J45" s="346">
        <f t="shared" si="18"/>
        <v>-0.21773555027711797</v>
      </c>
      <c r="K45" s="238"/>
      <c r="L45" s="346"/>
      <c r="M45" s="238"/>
      <c r="N45" s="237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B45" s="238"/>
      <c r="AC45" s="238"/>
      <c r="AD45" s="238"/>
      <c r="AE45" s="238"/>
    </row>
    <row r="46" spans="2:31" x14ac:dyDescent="0.15">
      <c r="B46" s="238"/>
      <c r="C46" s="239" t="s">
        <v>167</v>
      </c>
      <c r="D46" s="239" t="s">
        <v>106</v>
      </c>
      <c r="E46" s="480"/>
      <c r="F46" s="480">
        <v>42426</v>
      </c>
      <c r="G46" s="238"/>
      <c r="H46" s="263">
        <v>14.4</v>
      </c>
      <c r="I46" s="263"/>
      <c r="J46" s="346"/>
      <c r="K46" s="238"/>
      <c r="L46" s="346"/>
      <c r="M46" s="238"/>
      <c r="N46" s="237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B46" s="238"/>
      <c r="AC46" s="238"/>
      <c r="AD46" s="238"/>
      <c r="AE46" s="238"/>
    </row>
    <row r="47" spans="2:31" x14ac:dyDescent="0.1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B47" s="238"/>
      <c r="AC47" s="238"/>
      <c r="AD47" s="238"/>
      <c r="AE47" s="238"/>
    </row>
    <row r="48" spans="2:31" x14ac:dyDescent="0.15">
      <c r="B48" s="238"/>
      <c r="C48" s="504" t="s">
        <v>207</v>
      </c>
      <c r="D48" s="504"/>
      <c r="E48" s="509" t="s">
        <v>174</v>
      </c>
      <c r="F48" s="510"/>
      <c r="G48" s="282"/>
      <c r="H48" s="271" t="s">
        <v>180</v>
      </c>
      <c r="I48" s="271" t="s">
        <v>171</v>
      </c>
      <c r="J48" s="446" t="s">
        <v>125</v>
      </c>
      <c r="K48" s="238"/>
      <c r="L48" s="343"/>
      <c r="M48" s="238"/>
      <c r="N48" s="281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B48" s="238"/>
      <c r="AC48" s="238"/>
      <c r="AD48" s="238"/>
      <c r="AE48" s="238"/>
    </row>
    <row r="49" spans="2:31" x14ac:dyDescent="0.15">
      <c r="B49" s="238"/>
      <c r="C49" s="239"/>
      <c r="D49" s="239"/>
      <c r="E49" s="508"/>
      <c r="F49" s="508"/>
      <c r="G49" s="238"/>
      <c r="H49" s="263"/>
      <c r="I49" s="263"/>
      <c r="J49" s="346" t="e">
        <f>(I49/H49)-1</f>
        <v>#DIV/0!</v>
      </c>
      <c r="K49" s="238"/>
      <c r="L49" s="236"/>
      <c r="M49" s="238"/>
      <c r="N49" s="237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B49" s="238"/>
      <c r="AC49" s="238"/>
      <c r="AD49" s="238"/>
      <c r="AE49" s="238"/>
    </row>
    <row r="50" spans="2:31" x14ac:dyDescent="0.15">
      <c r="B50" s="238"/>
      <c r="C50" s="238"/>
      <c r="D50" s="238"/>
      <c r="E50" s="336"/>
      <c r="F50" s="256"/>
      <c r="G50" s="256"/>
      <c r="H50" s="249"/>
      <c r="I50" s="263"/>
      <c r="J50" s="238"/>
      <c r="K50" s="238"/>
      <c r="L50" s="238"/>
      <c r="M50" s="346"/>
      <c r="N50" s="237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B50" s="238"/>
      <c r="AC50" s="238"/>
      <c r="AD50" s="238"/>
      <c r="AE50" s="238"/>
    </row>
    <row r="51" spans="2:31" x14ac:dyDescent="0.15">
      <c r="B51" s="238"/>
      <c r="C51" s="504" t="s">
        <v>228</v>
      </c>
      <c r="D51" s="504"/>
      <c r="E51" s="509" t="s">
        <v>174</v>
      </c>
      <c r="F51" s="510"/>
      <c r="G51" s="282"/>
      <c r="H51" s="271" t="s">
        <v>180</v>
      </c>
      <c r="I51" s="271" t="s">
        <v>171</v>
      </c>
      <c r="J51" s="446" t="s">
        <v>125</v>
      </c>
      <c r="K51" s="238"/>
      <c r="L51" s="343"/>
      <c r="M51" s="238"/>
      <c r="N51" s="281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B51" s="238"/>
      <c r="AC51" s="238"/>
      <c r="AD51" s="238"/>
      <c r="AE51" s="238"/>
    </row>
    <row r="52" spans="2:31" x14ac:dyDescent="0.15">
      <c r="B52" s="238"/>
      <c r="C52" s="239"/>
      <c r="D52" s="239"/>
      <c r="E52" s="508"/>
      <c r="F52" s="508"/>
      <c r="G52" s="238"/>
      <c r="H52" s="263"/>
      <c r="I52" s="263"/>
      <c r="J52" s="346" t="e">
        <f>(I52/H52)-1</f>
        <v>#DIV/0!</v>
      </c>
      <c r="K52" s="238"/>
      <c r="L52" s="236"/>
      <c r="M52" s="238"/>
      <c r="N52" s="237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B52" s="238"/>
      <c r="AC52" s="238"/>
      <c r="AD52" s="238"/>
      <c r="AE52" s="238"/>
    </row>
    <row r="53" spans="2:31" x14ac:dyDescent="0.15"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B53" s="238"/>
      <c r="AC53" s="238"/>
      <c r="AD53" s="238"/>
      <c r="AE53" s="238"/>
    </row>
    <row r="54" spans="2:31" x14ac:dyDescent="0.15"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B54" s="238"/>
      <c r="AC54" s="238"/>
      <c r="AD54" s="238"/>
      <c r="AE54" s="238"/>
    </row>
  </sheetData>
  <mergeCells count="26">
    <mergeCell ref="V3:W3"/>
    <mergeCell ref="E52:F52"/>
    <mergeCell ref="E49:F49"/>
    <mergeCell ref="E28:F28"/>
    <mergeCell ref="E35:F35"/>
    <mergeCell ref="E48:F48"/>
    <mergeCell ref="E51:F51"/>
    <mergeCell ref="E33:F33"/>
    <mergeCell ref="E40:F40"/>
    <mergeCell ref="E41:F41"/>
    <mergeCell ref="E42:F42"/>
    <mergeCell ref="E43:F43"/>
    <mergeCell ref="C28:D28"/>
    <mergeCell ref="C35:D35"/>
    <mergeCell ref="C48:D48"/>
    <mergeCell ref="C51:D51"/>
    <mergeCell ref="E31:F31"/>
    <mergeCell ref="E32:F32"/>
    <mergeCell ref="E29:F29"/>
    <mergeCell ref="E36:F36"/>
    <mergeCell ref="E30:F30"/>
    <mergeCell ref="E37:F37"/>
    <mergeCell ref="E38:F38"/>
    <mergeCell ref="E39:F39"/>
    <mergeCell ref="E44:F44"/>
    <mergeCell ref="E45:F45"/>
  </mergeCells>
  <conditionalFormatting sqref="V4 X4:AA4 M27 J27 I49:I50 H51:H52 H49 M29:M33 I52 H23:M25 H22 K22:M22 H4 K4:M4 H38:I46 I37 N4:N6 H29:I33 H36:I36 N8:N26 H5:M21">
    <cfRule type="cellIs" dxfId="23" priority="99" operator="equal">
      <formula>"""Large"""</formula>
    </cfRule>
  </conditionalFormatting>
  <conditionalFormatting sqref="N49:N52 M50 L52:M52 J52 L49:M49 J49 L29:L33 N29:N33 J29:J33 L36:N46 P4:S4 J36:J46 AC4:AD26 O5:S26">
    <cfRule type="cellIs" dxfId="22" priority="98" operator="lessThan">
      <formula>0</formula>
    </cfRule>
  </conditionalFormatting>
  <conditionalFormatting sqref="N49:N52 M50 L52:M52 J52 L49:M49 J49 L29:L33 N29:N33 J29:J33 L36:N46 P4:S4 J36:J46 AC4:AD26 O5:S26">
    <cfRule type="cellIs" dxfId="21" priority="97" operator="greaterThan">
      <formula>0</formula>
    </cfRule>
  </conditionalFormatting>
  <conditionalFormatting sqref="W4:W25">
    <cfRule type="containsText" dxfId="20" priority="78" operator="containsText" text="Mid">
      <formula>NOT(ISERROR(SEARCH("Mid",W4)))</formula>
    </cfRule>
    <cfRule type="containsText" dxfId="19" priority="79" operator="containsText" text="Small">
      <formula>NOT(ISERROR(SEARCH("Small",W4)))</formula>
    </cfRule>
    <cfRule type="containsText" dxfId="18" priority="80" operator="containsText" text="Large">
      <formula>NOT(ISERROR(SEARCH("Large",W4)))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1" sqref="D1:D19"/>
    </sheetView>
  </sheetViews>
  <sheetFormatPr baseColWidth="10" defaultColWidth="8.83203125" defaultRowHeight="13" x14ac:dyDescent="0.15"/>
  <sheetData>
    <row r="1" spans="1:4" x14ac:dyDescent="0.15">
      <c r="A1" t="s">
        <v>45</v>
      </c>
      <c r="B1">
        <v>151.37</v>
      </c>
      <c r="C1" s="358">
        <v>26</v>
      </c>
      <c r="D1">
        <f>B1*C1</f>
        <v>3935.62</v>
      </c>
    </row>
    <row r="2" spans="1:4" x14ac:dyDescent="0.15">
      <c r="A2" t="s">
        <v>149</v>
      </c>
      <c r="B2">
        <v>18.149999999999999</v>
      </c>
      <c r="C2" s="358">
        <v>94.647999999999996</v>
      </c>
      <c r="D2">
        <f t="shared" ref="D2:D19" si="0">B2*C2</f>
        <v>1717.8611999999998</v>
      </c>
    </row>
    <row r="3" spans="1:4" x14ac:dyDescent="0.15">
      <c r="A3" t="s">
        <v>214</v>
      </c>
      <c r="B3">
        <v>10.210000000000001</v>
      </c>
      <c r="C3" s="358">
        <v>260</v>
      </c>
      <c r="D3">
        <f t="shared" si="0"/>
        <v>2654.6000000000004</v>
      </c>
    </row>
    <row r="4" spans="1:4" x14ac:dyDescent="0.15">
      <c r="A4" t="s">
        <v>16</v>
      </c>
      <c r="B4">
        <v>27.51</v>
      </c>
      <c r="C4" s="358">
        <v>70</v>
      </c>
      <c r="D4">
        <f t="shared" si="0"/>
        <v>1925.7</v>
      </c>
    </row>
    <row r="5" spans="1:4" x14ac:dyDescent="0.15">
      <c r="A5" t="s">
        <v>211</v>
      </c>
      <c r="B5">
        <v>48.19</v>
      </c>
      <c r="C5" s="358">
        <v>151</v>
      </c>
      <c r="D5">
        <f t="shared" si="0"/>
        <v>7276.69</v>
      </c>
    </row>
    <row r="6" spans="1:4" x14ac:dyDescent="0.15">
      <c r="A6" t="s">
        <v>106</v>
      </c>
      <c r="B6">
        <v>17.84</v>
      </c>
      <c r="C6" s="358">
        <v>95</v>
      </c>
      <c r="D6">
        <f t="shared" si="0"/>
        <v>1694.8</v>
      </c>
    </row>
    <row r="7" spans="1:4" x14ac:dyDescent="0.15">
      <c r="A7" t="s">
        <v>49</v>
      </c>
      <c r="B7">
        <v>106.72</v>
      </c>
      <c r="C7" s="358">
        <v>61</v>
      </c>
      <c r="D7">
        <f t="shared" si="0"/>
        <v>6509.92</v>
      </c>
    </row>
    <row r="8" spans="1:4" x14ac:dyDescent="0.15">
      <c r="A8" t="s">
        <v>215</v>
      </c>
      <c r="B8">
        <v>8.56</v>
      </c>
      <c r="C8" s="358">
        <v>135</v>
      </c>
      <c r="D8">
        <f t="shared" si="0"/>
        <v>1155.6000000000001</v>
      </c>
    </row>
    <row r="9" spans="1:4" x14ac:dyDescent="0.15">
      <c r="A9" t="s">
        <v>50</v>
      </c>
      <c r="B9">
        <v>36.69</v>
      </c>
      <c r="C9" s="358">
        <v>116</v>
      </c>
      <c r="D9">
        <f t="shared" si="0"/>
        <v>4256.04</v>
      </c>
    </row>
    <row r="10" spans="1:4" x14ac:dyDescent="0.15">
      <c r="A10" t="s">
        <v>52</v>
      </c>
      <c r="B10">
        <v>74.75</v>
      </c>
      <c r="C10" s="358">
        <v>29</v>
      </c>
      <c r="D10">
        <f t="shared" si="0"/>
        <v>2167.75</v>
      </c>
    </row>
    <row r="11" spans="1:4" x14ac:dyDescent="0.15">
      <c r="A11" t="s">
        <v>195</v>
      </c>
      <c r="B11">
        <v>26.08</v>
      </c>
      <c r="C11" s="358">
        <v>75</v>
      </c>
      <c r="D11">
        <f t="shared" si="0"/>
        <v>1955.9999999999998</v>
      </c>
    </row>
    <row r="12" spans="1:4" x14ac:dyDescent="0.15">
      <c r="A12" t="s">
        <v>232</v>
      </c>
      <c r="B12">
        <v>171.17</v>
      </c>
      <c r="C12" s="358">
        <v>18</v>
      </c>
      <c r="D12">
        <f t="shared" si="0"/>
        <v>3081.06</v>
      </c>
    </row>
    <row r="13" spans="1:4" x14ac:dyDescent="0.15">
      <c r="A13" t="s">
        <v>269</v>
      </c>
      <c r="B13">
        <v>68.89</v>
      </c>
      <c r="C13" s="358">
        <v>40</v>
      </c>
      <c r="D13">
        <f t="shared" si="0"/>
        <v>2755.6</v>
      </c>
    </row>
    <row r="14" spans="1:4" x14ac:dyDescent="0.15">
      <c r="A14" t="s">
        <v>262</v>
      </c>
      <c r="B14">
        <v>50.05</v>
      </c>
      <c r="C14" s="358">
        <v>42</v>
      </c>
      <c r="D14">
        <f t="shared" si="0"/>
        <v>2102.1</v>
      </c>
    </row>
    <row r="15" spans="1:4" x14ac:dyDescent="0.15">
      <c r="A15" t="s">
        <v>185</v>
      </c>
      <c r="B15">
        <v>24.52</v>
      </c>
      <c r="C15" s="358">
        <v>200</v>
      </c>
      <c r="D15">
        <f t="shared" si="0"/>
        <v>4904</v>
      </c>
    </row>
    <row r="16" spans="1:4" x14ac:dyDescent="0.15">
      <c r="A16" t="s">
        <v>177</v>
      </c>
      <c r="B16">
        <v>41.2</v>
      </c>
      <c r="C16" s="358">
        <v>102</v>
      </c>
      <c r="D16">
        <f t="shared" si="0"/>
        <v>4202.4000000000005</v>
      </c>
    </row>
    <row r="17" spans="1:4" x14ac:dyDescent="0.15">
      <c r="A17" t="s">
        <v>56</v>
      </c>
      <c r="B17">
        <v>53.56</v>
      </c>
      <c r="C17" s="358">
        <v>54</v>
      </c>
      <c r="D17">
        <f t="shared" si="0"/>
        <v>2892.2400000000002</v>
      </c>
    </row>
    <row r="18" spans="1:4" x14ac:dyDescent="0.15">
      <c r="A18" t="s">
        <v>208</v>
      </c>
      <c r="B18">
        <v>50.23</v>
      </c>
      <c r="C18" s="434">
        <v>100</v>
      </c>
      <c r="D18">
        <f t="shared" si="0"/>
        <v>5023</v>
      </c>
    </row>
    <row r="19" spans="1:4" x14ac:dyDescent="0.15">
      <c r="A19" t="s">
        <v>271</v>
      </c>
      <c r="B19">
        <v>129.65</v>
      </c>
      <c r="C19" s="434">
        <v>25</v>
      </c>
      <c r="D19">
        <f t="shared" si="0"/>
        <v>3241.25</v>
      </c>
    </row>
    <row r="20" spans="1:4" x14ac:dyDescent="0.15">
      <c r="D20">
        <f>SUM(D1:D19)</f>
        <v>63452.231199999995</v>
      </c>
    </row>
    <row r="22" spans="1:4" x14ac:dyDescent="0.15">
      <c r="A22" t="s">
        <v>272</v>
      </c>
      <c r="D22" s="358">
        <v>2225.8000000000002</v>
      </c>
    </row>
    <row r="23" spans="1:4" x14ac:dyDescent="0.15">
      <c r="D23">
        <f>SUM(D20:D22)</f>
        <v>65678.031199999998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S28"/>
  <sheetViews>
    <sheetView showGridLines="0" workbookViewId="0">
      <selection activeCell="D11" sqref="D11"/>
    </sheetView>
  </sheetViews>
  <sheetFormatPr baseColWidth="10" defaultColWidth="8.83203125" defaultRowHeight="13" x14ac:dyDescent="0.15"/>
  <cols>
    <col min="3" max="3" width="7.33203125" bestFit="1" customWidth="1"/>
    <col min="4" max="4" width="21.5" bestFit="1" customWidth="1"/>
    <col min="11" max="11" width="11.1640625" bestFit="1" customWidth="1"/>
    <col min="12" max="12" width="7" bestFit="1" customWidth="1"/>
    <col min="13" max="13" width="8.6640625" bestFit="1" customWidth="1"/>
    <col min="14" max="15" width="8.5" bestFit="1" customWidth="1"/>
    <col min="16" max="16" width="14.83203125" bestFit="1" customWidth="1"/>
    <col min="17" max="17" width="5.5" bestFit="1" customWidth="1"/>
    <col min="18" max="18" width="7.5" bestFit="1" customWidth="1"/>
    <col min="19" max="19" width="12.6640625" bestFit="1" customWidth="1"/>
  </cols>
  <sheetData>
    <row r="4" spans="3:19" ht="25" thickBot="1" x14ac:dyDescent="0.35">
      <c r="D4" s="511" t="s">
        <v>118</v>
      </c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</row>
    <row r="5" spans="3:19" x14ac:dyDescent="0.15">
      <c r="D5" s="512" t="s">
        <v>119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</row>
    <row r="6" spans="3:19" ht="22" x14ac:dyDescent="0.15">
      <c r="D6" s="192"/>
      <c r="E6" s="193"/>
      <c r="F6" s="194"/>
      <c r="G6" s="161" t="s">
        <v>120</v>
      </c>
      <c r="H6" s="161" t="s">
        <v>121</v>
      </c>
      <c r="I6" s="161" t="s">
        <v>122</v>
      </c>
      <c r="J6" s="161" t="s">
        <v>123</v>
      </c>
      <c r="K6" s="161" t="s">
        <v>124</v>
      </c>
      <c r="L6" s="161" t="s">
        <v>44</v>
      </c>
      <c r="M6" s="161" t="s">
        <v>125</v>
      </c>
      <c r="N6" s="161" t="s">
        <v>60</v>
      </c>
      <c r="O6" s="161" t="s">
        <v>61</v>
      </c>
      <c r="P6" s="161" t="s">
        <v>62</v>
      </c>
      <c r="Q6" s="161" t="s">
        <v>63</v>
      </c>
      <c r="R6" s="161" t="s">
        <v>64</v>
      </c>
      <c r="S6" s="161" t="s">
        <v>65</v>
      </c>
    </row>
    <row r="7" spans="3:19" x14ac:dyDescent="0.15">
      <c r="C7" s="195" t="s">
        <v>268</v>
      </c>
      <c r="D7" s="353" t="s">
        <v>217</v>
      </c>
      <c r="E7" s="354" t="s">
        <v>66</v>
      </c>
      <c r="F7" s="355" t="s">
        <v>67</v>
      </c>
      <c r="G7" s="448">
        <v>16817.939999999999</v>
      </c>
      <c r="H7" s="449">
        <v>16805.41</v>
      </c>
      <c r="I7" s="449">
        <v>16836.98</v>
      </c>
      <c r="J7" s="449">
        <v>16729.830000000002</v>
      </c>
      <c r="K7" s="450">
        <v>72581120</v>
      </c>
      <c r="L7" s="449">
        <v>12.53</v>
      </c>
      <c r="M7" s="451">
        <v>6.9999999999999999E-4</v>
      </c>
      <c r="N7" s="449">
        <v>17350.64</v>
      </c>
      <c r="O7" s="449">
        <v>15340.69</v>
      </c>
      <c r="P7" s="450">
        <v>0</v>
      </c>
      <c r="Q7" s="449">
        <v>0</v>
      </c>
      <c r="R7" s="449">
        <v>0</v>
      </c>
      <c r="S7" s="450">
        <v>0</v>
      </c>
    </row>
    <row r="8" spans="3:19" x14ac:dyDescent="0.15">
      <c r="C8" s="195" t="s">
        <v>266</v>
      </c>
      <c r="D8" s="353" t="s">
        <v>218</v>
      </c>
      <c r="E8" s="354" t="s">
        <v>66</v>
      </c>
      <c r="F8" s="355" t="s">
        <v>67</v>
      </c>
      <c r="G8" s="448">
        <v>4485.93</v>
      </c>
      <c r="H8" s="449">
        <v>4483.72</v>
      </c>
      <c r="I8" s="449">
        <v>4489.6000000000004</v>
      </c>
      <c r="J8" s="449">
        <v>4450.29</v>
      </c>
      <c r="K8" s="450">
        <v>0</v>
      </c>
      <c r="L8" s="449">
        <v>2.2200000000000002</v>
      </c>
      <c r="M8" s="451">
        <v>5.0000000000000001E-4</v>
      </c>
      <c r="N8" s="449">
        <v>4610.57</v>
      </c>
      <c r="O8" s="449">
        <v>3855.07</v>
      </c>
      <c r="P8" s="450">
        <v>0</v>
      </c>
      <c r="Q8" s="449">
        <v>0</v>
      </c>
      <c r="R8" s="449">
        <v>0</v>
      </c>
      <c r="S8" s="450">
        <v>0</v>
      </c>
    </row>
    <row r="9" spans="3:19" x14ac:dyDescent="0.15">
      <c r="C9" s="195" t="s">
        <v>267</v>
      </c>
      <c r="D9" s="353" t="s">
        <v>219</v>
      </c>
      <c r="E9" s="354" t="s">
        <v>66</v>
      </c>
      <c r="F9" s="355" t="s">
        <v>67</v>
      </c>
      <c r="G9" s="448">
        <v>1961.63</v>
      </c>
      <c r="H9" s="449">
        <v>1964.58</v>
      </c>
      <c r="I9" s="449">
        <v>1964.64</v>
      </c>
      <c r="J9" s="449">
        <v>1951.37</v>
      </c>
      <c r="K9" s="450">
        <v>465869091</v>
      </c>
      <c r="L9" s="449">
        <v>-2.95</v>
      </c>
      <c r="M9" s="451">
        <v>-1.5E-3</v>
      </c>
      <c r="N9" s="449">
        <v>2019.26</v>
      </c>
      <c r="O9" s="449">
        <v>1737.92</v>
      </c>
      <c r="P9" s="450">
        <v>0</v>
      </c>
      <c r="Q9" s="449">
        <v>0</v>
      </c>
      <c r="R9" s="449">
        <v>0</v>
      </c>
      <c r="S9" s="450">
        <v>0</v>
      </c>
    </row>
    <row r="10" spans="3:19" x14ac:dyDescent="0.15">
      <c r="D10" s="353" t="s">
        <v>218</v>
      </c>
      <c r="E10" s="354" t="s">
        <v>66</v>
      </c>
      <c r="F10" s="355" t="s">
        <v>67</v>
      </c>
      <c r="G10" s="448">
        <v>4485.93</v>
      </c>
      <c r="H10" s="449">
        <v>4483.72</v>
      </c>
      <c r="I10" s="449">
        <v>4489.6000000000004</v>
      </c>
      <c r="J10" s="449">
        <v>4450.29</v>
      </c>
      <c r="K10" s="450">
        <v>0</v>
      </c>
      <c r="L10" s="449">
        <v>2.2200000000000002</v>
      </c>
      <c r="M10" s="451">
        <v>5.0000000000000001E-4</v>
      </c>
      <c r="N10" s="449">
        <v>4610.57</v>
      </c>
      <c r="O10" s="449">
        <v>3855.07</v>
      </c>
      <c r="P10" s="450">
        <v>0</v>
      </c>
      <c r="Q10" s="449">
        <v>0</v>
      </c>
      <c r="R10" s="449">
        <v>0</v>
      </c>
      <c r="S10" s="450">
        <v>0</v>
      </c>
    </row>
    <row r="11" spans="3:19" ht="26" x14ac:dyDescent="0.15">
      <c r="C11" s="195" t="s">
        <v>45</v>
      </c>
      <c r="D11" s="353" t="s">
        <v>247</v>
      </c>
      <c r="E11" s="354" t="s">
        <v>66</v>
      </c>
      <c r="F11" s="355" t="s">
        <v>67</v>
      </c>
      <c r="G11" s="448">
        <v>139.53</v>
      </c>
      <c r="H11" s="449">
        <v>139.4</v>
      </c>
      <c r="I11" s="449">
        <v>139.65</v>
      </c>
      <c r="J11" s="449">
        <v>138.94</v>
      </c>
      <c r="K11" s="450">
        <v>2812272</v>
      </c>
      <c r="L11" s="449">
        <v>0.13</v>
      </c>
      <c r="M11" s="451">
        <v>8.9999999999999998E-4</v>
      </c>
      <c r="N11" s="449">
        <v>142.44999999999999</v>
      </c>
      <c r="O11" s="449">
        <v>108.12</v>
      </c>
      <c r="P11" s="450">
        <v>325761867098</v>
      </c>
      <c r="Q11" s="449">
        <v>9</v>
      </c>
      <c r="R11" s="449">
        <v>15.5</v>
      </c>
      <c r="S11" s="450">
        <v>2334708429</v>
      </c>
    </row>
    <row r="12" spans="3:19" ht="26" x14ac:dyDescent="0.15">
      <c r="C12" s="195" t="s">
        <v>149</v>
      </c>
      <c r="D12" s="353" t="s">
        <v>147</v>
      </c>
      <c r="E12" s="354" t="s">
        <v>66</v>
      </c>
      <c r="F12" s="355" t="s">
        <v>67</v>
      </c>
      <c r="G12" s="448">
        <v>19.64</v>
      </c>
      <c r="H12" s="449">
        <v>19.690000000000001</v>
      </c>
      <c r="I12" s="449">
        <v>19.64</v>
      </c>
      <c r="J12" s="449">
        <v>19.64</v>
      </c>
      <c r="K12" s="450">
        <v>0</v>
      </c>
      <c r="L12" s="449">
        <v>-0.05</v>
      </c>
      <c r="M12" s="451">
        <v>-2.5000000000000001E-3</v>
      </c>
      <c r="N12" s="449">
        <v>0</v>
      </c>
      <c r="O12" s="449">
        <v>0</v>
      </c>
      <c r="P12" s="450">
        <v>0</v>
      </c>
      <c r="Q12" s="449">
        <v>0</v>
      </c>
      <c r="R12" s="449">
        <v>0</v>
      </c>
      <c r="S12" s="450">
        <v>0</v>
      </c>
    </row>
    <row r="13" spans="3:19" x14ac:dyDescent="0.15">
      <c r="C13" s="195" t="s">
        <v>214</v>
      </c>
      <c r="D13" s="353" t="s">
        <v>248</v>
      </c>
      <c r="E13" s="354" t="s">
        <v>66</v>
      </c>
      <c r="F13" s="355" t="s">
        <v>67</v>
      </c>
      <c r="G13" s="448">
        <v>11.9</v>
      </c>
      <c r="H13" s="449">
        <v>12.08</v>
      </c>
      <c r="I13" s="449">
        <v>11.99</v>
      </c>
      <c r="J13" s="449">
        <v>11.81</v>
      </c>
      <c r="K13" s="450">
        <v>6102828</v>
      </c>
      <c r="L13" s="449">
        <v>-0.18</v>
      </c>
      <c r="M13" s="451">
        <v>-1.49E-2</v>
      </c>
      <c r="N13" s="449">
        <v>14.37</v>
      </c>
      <c r="O13" s="449">
        <v>9.81</v>
      </c>
      <c r="P13" s="450">
        <v>14137762703</v>
      </c>
      <c r="Q13" s="449">
        <v>-5.9</v>
      </c>
      <c r="R13" s="449">
        <v>-27.31</v>
      </c>
      <c r="S13" s="450">
        <v>1188047286</v>
      </c>
    </row>
    <row r="14" spans="3:19" x14ac:dyDescent="0.15">
      <c r="C14" s="195" t="s">
        <v>16</v>
      </c>
      <c r="D14" s="353" t="s">
        <v>249</v>
      </c>
      <c r="E14" s="354" t="s">
        <v>66</v>
      </c>
      <c r="F14" s="355" t="s">
        <v>67</v>
      </c>
      <c r="G14" s="448">
        <v>23.76</v>
      </c>
      <c r="H14" s="449">
        <v>23.78</v>
      </c>
      <c r="I14" s="449">
        <v>23.81</v>
      </c>
      <c r="J14" s="449">
        <v>23.6</v>
      </c>
      <c r="K14" s="450">
        <v>16827624</v>
      </c>
      <c r="L14" s="449">
        <v>-0.02</v>
      </c>
      <c r="M14" s="451">
        <v>-8.0000000000000004E-4</v>
      </c>
      <c r="N14" s="449">
        <v>26.08</v>
      </c>
      <c r="O14" s="449">
        <v>20.22</v>
      </c>
      <c r="P14" s="450">
        <v>121157067295</v>
      </c>
      <c r="Q14" s="449">
        <v>1.49</v>
      </c>
      <c r="R14" s="449">
        <v>15.98</v>
      </c>
      <c r="S14" s="450">
        <v>5099203169</v>
      </c>
    </row>
    <row r="15" spans="3:19" x14ac:dyDescent="0.15">
      <c r="C15" s="195" t="s">
        <v>211</v>
      </c>
      <c r="D15" s="353" t="s">
        <v>250</v>
      </c>
      <c r="E15" s="354" t="s">
        <v>66</v>
      </c>
      <c r="F15" s="355" t="s">
        <v>67</v>
      </c>
      <c r="G15" s="448">
        <v>39.75</v>
      </c>
      <c r="H15" s="449">
        <v>39.44</v>
      </c>
      <c r="I15" s="449">
        <v>40.1</v>
      </c>
      <c r="J15" s="449">
        <v>39.200000000000003</v>
      </c>
      <c r="K15" s="450">
        <v>18957877</v>
      </c>
      <c r="L15" s="449">
        <v>0.31</v>
      </c>
      <c r="M15" s="451">
        <v>7.9000000000000008E-3</v>
      </c>
      <c r="N15" s="449">
        <v>42.66</v>
      </c>
      <c r="O15" s="449">
        <v>25.98</v>
      </c>
      <c r="P15" s="450">
        <v>33509487149</v>
      </c>
      <c r="Q15" s="449">
        <v>12.69</v>
      </c>
      <c r="R15" s="449">
        <v>3.13</v>
      </c>
      <c r="S15" s="450">
        <v>843005966</v>
      </c>
    </row>
    <row r="16" spans="3:19" x14ac:dyDescent="0.15">
      <c r="C16" s="195" t="s">
        <v>106</v>
      </c>
      <c r="D16" s="353" t="s">
        <v>251</v>
      </c>
      <c r="E16" s="354" t="s">
        <v>66</v>
      </c>
      <c r="F16" s="355" t="s">
        <v>67</v>
      </c>
      <c r="G16" s="448">
        <v>31.52</v>
      </c>
      <c r="H16" s="449">
        <v>31.65</v>
      </c>
      <c r="I16" s="449">
        <v>31.74</v>
      </c>
      <c r="J16" s="449">
        <v>31.37</v>
      </c>
      <c r="K16" s="450">
        <v>1161307</v>
      </c>
      <c r="L16" s="449">
        <v>-0.13</v>
      </c>
      <c r="M16" s="451">
        <v>-4.1000000000000003E-3</v>
      </c>
      <c r="N16" s="449">
        <v>34.409999999999997</v>
      </c>
      <c r="O16" s="449">
        <v>26.33</v>
      </c>
      <c r="P16" s="450">
        <v>4608446752</v>
      </c>
      <c r="Q16" s="449">
        <v>1.86</v>
      </c>
      <c r="R16" s="449">
        <v>16.98</v>
      </c>
      <c r="S16" s="450">
        <v>146207067</v>
      </c>
    </row>
    <row r="17" spans="3:19" x14ac:dyDescent="0.15">
      <c r="C17" s="195" t="s">
        <v>49</v>
      </c>
      <c r="D17" s="353" t="s">
        <v>252</v>
      </c>
      <c r="E17" s="354" t="s">
        <v>66</v>
      </c>
      <c r="F17" s="355" t="s">
        <v>67</v>
      </c>
      <c r="G17" s="448">
        <v>95.47</v>
      </c>
      <c r="H17" s="449">
        <v>94.99</v>
      </c>
      <c r="I17" s="449">
        <v>95.68</v>
      </c>
      <c r="J17" s="449">
        <v>94.71</v>
      </c>
      <c r="K17" s="450">
        <v>4465121</v>
      </c>
      <c r="L17" s="449">
        <v>0.48</v>
      </c>
      <c r="M17" s="451">
        <v>5.1000000000000004E-3</v>
      </c>
      <c r="N17" s="449">
        <v>95.68</v>
      </c>
      <c r="O17" s="449">
        <v>73.959999999999994</v>
      </c>
      <c r="P17" s="450">
        <v>128495131238</v>
      </c>
      <c r="Q17" s="449">
        <v>4.18</v>
      </c>
      <c r="R17" s="449">
        <v>22.83</v>
      </c>
      <c r="S17" s="450">
        <v>1345921559</v>
      </c>
    </row>
    <row r="18" spans="3:19" x14ac:dyDescent="0.15">
      <c r="C18" s="195" t="s">
        <v>215</v>
      </c>
      <c r="D18" s="353" t="s">
        <v>253</v>
      </c>
      <c r="E18" s="354" t="s">
        <v>66</v>
      </c>
      <c r="F18" s="355" t="s">
        <v>67</v>
      </c>
      <c r="G18" s="448">
        <v>7.8</v>
      </c>
      <c r="H18" s="449">
        <v>7.75</v>
      </c>
      <c r="I18" s="449">
        <v>7.87</v>
      </c>
      <c r="J18" s="449">
        <v>7.62</v>
      </c>
      <c r="K18" s="450">
        <v>185394</v>
      </c>
      <c r="L18" s="449">
        <v>0.05</v>
      </c>
      <c r="M18" s="451">
        <v>6.4999999999999997E-3</v>
      </c>
      <c r="N18" s="449">
        <v>14.72</v>
      </c>
      <c r="O18" s="449">
        <v>7.2</v>
      </c>
      <c r="P18" s="450">
        <v>222762829</v>
      </c>
      <c r="Q18" s="449">
        <v>1.35</v>
      </c>
      <c r="R18" s="449">
        <v>5.76</v>
      </c>
      <c r="S18" s="450">
        <v>28559337</v>
      </c>
    </row>
    <row r="19" spans="3:19" x14ac:dyDescent="0.15">
      <c r="C19" s="195" t="s">
        <v>50</v>
      </c>
      <c r="D19" s="353" t="s">
        <v>254</v>
      </c>
      <c r="E19" s="354" t="s">
        <v>66</v>
      </c>
      <c r="F19" s="355" t="s">
        <v>67</v>
      </c>
      <c r="G19" s="448">
        <v>33.200000000000003</v>
      </c>
      <c r="H19" s="449">
        <v>33.18</v>
      </c>
      <c r="I19" s="449">
        <v>33.299999999999997</v>
      </c>
      <c r="J19" s="449">
        <v>32.770000000000003</v>
      </c>
      <c r="K19" s="450">
        <v>23726572</v>
      </c>
      <c r="L19" s="449">
        <v>0.02</v>
      </c>
      <c r="M19" s="451">
        <v>5.9999999999999995E-4</v>
      </c>
      <c r="N19" s="449">
        <v>35.56</v>
      </c>
      <c r="O19" s="449">
        <v>23.4</v>
      </c>
      <c r="P19" s="450">
        <v>164373200000</v>
      </c>
      <c r="Q19" s="449">
        <v>2.02</v>
      </c>
      <c r="R19" s="449">
        <v>16.47</v>
      </c>
      <c r="S19" s="450">
        <v>4951000000</v>
      </c>
    </row>
    <row r="20" spans="3:19" x14ac:dyDescent="0.15">
      <c r="C20" s="195" t="s">
        <v>52</v>
      </c>
      <c r="D20" s="353" t="s">
        <v>255</v>
      </c>
      <c r="E20" s="354" t="s">
        <v>66</v>
      </c>
      <c r="F20" s="355" t="s">
        <v>67</v>
      </c>
      <c r="G20" s="448">
        <v>66.260000000000005</v>
      </c>
      <c r="H20" s="449">
        <v>66.56</v>
      </c>
      <c r="I20" s="449">
        <v>66.7</v>
      </c>
      <c r="J20" s="449">
        <v>65.510000000000005</v>
      </c>
      <c r="K20" s="450">
        <v>6673132</v>
      </c>
      <c r="L20" s="449">
        <v>-0.3</v>
      </c>
      <c r="M20" s="451">
        <v>-4.4999999999999997E-3</v>
      </c>
      <c r="N20" s="449">
        <v>67.11</v>
      </c>
      <c r="O20" s="449">
        <v>53.33</v>
      </c>
      <c r="P20" s="450">
        <v>64902757525</v>
      </c>
      <c r="Q20" s="449">
        <v>2.95</v>
      </c>
      <c r="R20" s="449">
        <v>22.43</v>
      </c>
      <c r="S20" s="450">
        <v>979516413</v>
      </c>
    </row>
    <row r="21" spans="3:19" ht="26" x14ac:dyDescent="0.15">
      <c r="C21" s="195" t="s">
        <v>195</v>
      </c>
      <c r="D21" s="353" t="s">
        <v>256</v>
      </c>
      <c r="E21" s="354" t="s">
        <v>66</v>
      </c>
      <c r="F21" s="355" t="s">
        <v>67</v>
      </c>
      <c r="G21" s="448">
        <v>16.47</v>
      </c>
      <c r="H21" s="449">
        <v>16.86</v>
      </c>
      <c r="I21" s="449">
        <v>16.78</v>
      </c>
      <c r="J21" s="449">
        <v>16.22</v>
      </c>
      <c r="K21" s="450">
        <v>87472</v>
      </c>
      <c r="L21" s="449">
        <v>-0.39</v>
      </c>
      <c r="M21" s="451">
        <v>-2.3099999999999999E-2</v>
      </c>
      <c r="N21" s="449">
        <v>44.6</v>
      </c>
      <c r="O21" s="449">
        <v>15.89</v>
      </c>
      <c r="P21" s="450">
        <v>370211507</v>
      </c>
      <c r="Q21" s="449">
        <v>0.56000000000000005</v>
      </c>
      <c r="R21" s="449">
        <v>29.58</v>
      </c>
      <c r="S21" s="450">
        <v>22477930</v>
      </c>
    </row>
    <row r="22" spans="3:19" ht="26" x14ac:dyDescent="0.15">
      <c r="C22" s="195" t="s">
        <v>232</v>
      </c>
      <c r="D22" s="353" t="s">
        <v>257</v>
      </c>
      <c r="E22" s="354" t="s">
        <v>66</v>
      </c>
      <c r="F22" s="355" t="s">
        <v>67</v>
      </c>
      <c r="G22" s="448">
        <v>154.81</v>
      </c>
      <c r="H22" s="449">
        <v>155.15</v>
      </c>
      <c r="I22" s="449">
        <v>155.61000000000001</v>
      </c>
      <c r="J22" s="449">
        <v>154.16999999999999</v>
      </c>
      <c r="K22" s="450">
        <v>596798</v>
      </c>
      <c r="L22" s="449">
        <v>-0.34</v>
      </c>
      <c r="M22" s="451">
        <v>-2.2000000000000001E-3</v>
      </c>
      <c r="N22" s="449">
        <v>168.39</v>
      </c>
      <c r="O22" s="449">
        <v>125.37</v>
      </c>
      <c r="P22" s="450">
        <v>20716325878</v>
      </c>
      <c r="Q22" s="449">
        <v>1.77</v>
      </c>
      <c r="R22" s="449">
        <v>87.46</v>
      </c>
      <c r="S22" s="450">
        <v>133817750</v>
      </c>
    </row>
    <row r="23" spans="3:19" x14ac:dyDescent="0.15">
      <c r="C23" s="195" t="s">
        <v>269</v>
      </c>
      <c r="D23" s="353" t="s">
        <v>265</v>
      </c>
      <c r="E23" s="354" t="s">
        <v>66</v>
      </c>
      <c r="F23" s="355" t="s">
        <v>67</v>
      </c>
      <c r="G23" s="448">
        <v>75.48</v>
      </c>
      <c r="H23" s="449">
        <v>76.489999999999995</v>
      </c>
      <c r="I23" s="449">
        <v>76.11</v>
      </c>
      <c r="J23" s="449">
        <v>74.53</v>
      </c>
      <c r="K23" s="450">
        <v>4295499</v>
      </c>
      <c r="L23" s="449">
        <v>-1.01</v>
      </c>
      <c r="M23" s="451">
        <v>-1.32E-2</v>
      </c>
      <c r="N23" s="449">
        <v>87.98</v>
      </c>
      <c r="O23" s="449">
        <v>62.75</v>
      </c>
      <c r="P23" s="450">
        <v>42050772094</v>
      </c>
      <c r="Q23" s="449">
        <v>5.14</v>
      </c>
      <c r="R23" s="449">
        <v>14.64</v>
      </c>
      <c r="S23" s="450">
        <v>558888518</v>
      </c>
    </row>
    <row r="24" spans="3:19" ht="26" x14ac:dyDescent="0.15">
      <c r="C24" s="195" t="s">
        <v>262</v>
      </c>
      <c r="D24" s="353" t="s">
        <v>264</v>
      </c>
      <c r="E24" s="354" t="s">
        <v>66</v>
      </c>
      <c r="F24" s="355" t="s">
        <v>67</v>
      </c>
      <c r="G24" s="448">
        <v>65.150000000000006</v>
      </c>
      <c r="H24" s="449">
        <v>66.62</v>
      </c>
      <c r="I24" s="449">
        <v>66.13</v>
      </c>
      <c r="J24" s="449">
        <v>64.14</v>
      </c>
      <c r="K24" s="450">
        <v>1798280</v>
      </c>
      <c r="L24" s="449">
        <v>-1.47</v>
      </c>
      <c r="M24" s="451">
        <v>-2.2100000000000002E-2</v>
      </c>
      <c r="N24" s="449">
        <v>95.41</v>
      </c>
      <c r="O24" s="449">
        <v>61.33</v>
      </c>
      <c r="P24" s="450">
        <v>10990646555</v>
      </c>
      <c r="Q24" s="449">
        <v>1.55</v>
      </c>
      <c r="R24" s="449">
        <v>41.99</v>
      </c>
      <c r="S24" s="450">
        <v>168697568</v>
      </c>
    </row>
    <row r="25" spans="3:19" ht="26" x14ac:dyDescent="0.15">
      <c r="C25" s="195" t="s">
        <v>185</v>
      </c>
      <c r="D25" s="353" t="s">
        <v>258</v>
      </c>
      <c r="E25" s="354" t="s">
        <v>66</v>
      </c>
      <c r="F25" s="355" t="s">
        <v>67</v>
      </c>
      <c r="G25" s="448">
        <v>26.59</v>
      </c>
      <c r="H25" s="449">
        <v>26.68</v>
      </c>
      <c r="I25" s="449">
        <v>26.67</v>
      </c>
      <c r="J25" s="449">
        <v>25.89</v>
      </c>
      <c r="K25" s="450">
        <v>208115</v>
      </c>
      <c r="L25" s="449">
        <v>-0.09</v>
      </c>
      <c r="M25" s="451">
        <v>-3.3999999999999998E-3</v>
      </c>
      <c r="N25" s="449">
        <v>32.51</v>
      </c>
      <c r="O25" s="449">
        <v>20.51</v>
      </c>
      <c r="P25" s="450">
        <v>1291522593</v>
      </c>
      <c r="Q25" s="449">
        <v>2.08</v>
      </c>
      <c r="R25" s="449">
        <v>12.79</v>
      </c>
      <c r="S25" s="450">
        <v>48571741</v>
      </c>
    </row>
    <row r="26" spans="3:19" x14ac:dyDescent="0.15">
      <c r="C26" s="195" t="s">
        <v>177</v>
      </c>
      <c r="D26" s="353" t="s">
        <v>259</v>
      </c>
      <c r="E26" s="354" t="s">
        <v>66</v>
      </c>
      <c r="F26" s="355" t="s">
        <v>67</v>
      </c>
      <c r="G26" s="448">
        <v>38.799999999999997</v>
      </c>
      <c r="H26" s="449">
        <v>38.74</v>
      </c>
      <c r="I26" s="449">
        <v>39.03</v>
      </c>
      <c r="J26" s="449">
        <v>38.31</v>
      </c>
      <c r="K26" s="450">
        <v>2369428</v>
      </c>
      <c r="L26" s="449">
        <v>0.06</v>
      </c>
      <c r="M26" s="451">
        <v>1.5E-3</v>
      </c>
      <c r="N26" s="449">
        <v>44.24</v>
      </c>
      <c r="O26" s="449">
        <v>27.33</v>
      </c>
      <c r="P26" s="450">
        <v>13645894350</v>
      </c>
      <c r="Q26" s="449">
        <v>2.75</v>
      </c>
      <c r="R26" s="449">
        <v>14.09</v>
      </c>
      <c r="S26" s="450">
        <v>351698308</v>
      </c>
    </row>
    <row r="27" spans="3:19" x14ac:dyDescent="0.15">
      <c r="C27" s="195" t="s">
        <v>56</v>
      </c>
      <c r="D27" s="353" t="s">
        <v>260</v>
      </c>
      <c r="E27" s="354" t="s">
        <v>66</v>
      </c>
      <c r="F27" s="355" t="s">
        <v>67</v>
      </c>
      <c r="G27" s="448">
        <v>51.31</v>
      </c>
      <c r="H27" s="449">
        <v>51.2</v>
      </c>
      <c r="I27" s="449">
        <v>51.36</v>
      </c>
      <c r="J27" s="449">
        <v>51.01</v>
      </c>
      <c r="K27" s="450">
        <v>11654467</v>
      </c>
      <c r="L27" s="449">
        <v>0.11</v>
      </c>
      <c r="M27" s="451">
        <v>2.0999999999999999E-3</v>
      </c>
      <c r="N27" s="449">
        <v>53.8</v>
      </c>
      <c r="O27" s="449">
        <v>41.71</v>
      </c>
      <c r="P27" s="450">
        <v>267859085582</v>
      </c>
      <c r="Q27" s="449">
        <v>4.05</v>
      </c>
      <c r="R27" s="449">
        <v>12.67</v>
      </c>
      <c r="S27" s="450">
        <v>5220407047</v>
      </c>
    </row>
    <row r="28" spans="3:19" x14ac:dyDescent="0.15">
      <c r="C28" s="195" t="s">
        <v>208</v>
      </c>
      <c r="D28" s="353" t="s">
        <v>261</v>
      </c>
      <c r="E28" s="354" t="s">
        <v>66</v>
      </c>
      <c r="F28" s="355" t="s">
        <v>67</v>
      </c>
      <c r="G28" s="448">
        <v>44.7</v>
      </c>
      <c r="H28" s="449">
        <v>43.5</v>
      </c>
      <c r="I28" s="449">
        <v>44.82</v>
      </c>
      <c r="J28" s="449">
        <v>43.29</v>
      </c>
      <c r="K28" s="450">
        <v>36543733</v>
      </c>
      <c r="L28" s="449">
        <v>1.2</v>
      </c>
      <c r="M28" s="451">
        <v>2.76E-2</v>
      </c>
      <c r="N28" s="449">
        <v>44.8</v>
      </c>
      <c r="O28" s="449">
        <v>31.7</v>
      </c>
      <c r="P28" s="450">
        <v>44458789324</v>
      </c>
      <c r="Q28" s="449">
        <v>1.19</v>
      </c>
      <c r="R28" s="449">
        <v>37.61</v>
      </c>
      <c r="S28" s="450">
        <v>994603788</v>
      </c>
    </row>
  </sheetData>
  <mergeCells count="2">
    <mergeCell ref="D4:S4"/>
    <mergeCell ref="D5:S5"/>
  </mergeCells>
  <hyperlinks>
    <hyperlink ref="F12" r:id="rId1" display="http://money.msn.com/business-news/news.aspx?symbol=MCLOX"/>
    <hyperlink ref="E12" r:id="rId2" display="http://investing.money.msn.com/investments/charts/?symbol=MCLOX"/>
    <hyperlink ref="D12" r:id="rId3" display="http://investing.money.msn.com/investments/stock-price?symbol=MCLOX"/>
    <hyperlink ref="F28" r:id="rId4" display="http://money.msn.com/business-news/news.aspx?symbol=YHOO"/>
    <hyperlink ref="E28" r:id="rId5" display="http://investing.money.msn.com/investments/charts/?symbol=YHOO"/>
    <hyperlink ref="D28" r:id="rId6" display="http://investing.money.msn.com/investments/stock-price?symbol=YHOO"/>
    <hyperlink ref="F27" r:id="rId7" display="http://money.msn.com/business-news/news.aspx?symbol=WFC"/>
    <hyperlink ref="E27" r:id="rId8" display="http://investing.money.msn.com/investments/charts/?symbol=WFC"/>
    <hyperlink ref="D27" r:id="rId9" display="http://investing.money.msn.com/investments/stock-price?symbol=WFC"/>
    <hyperlink ref="F26" r:id="rId10" display="http://money.msn.com/business-news/news.aspx?symbol=TSN"/>
    <hyperlink ref="E26" r:id="rId11" display="http://investing.money.msn.com/investments/charts/?symbol=TSN"/>
    <hyperlink ref="D26" r:id="rId12" display="http://investing.money.msn.com/investments/stock-price?symbol=TSN"/>
    <hyperlink ref="F25" r:id="rId13" display="http://money.msn.com/business-news/news.aspx?symbol=TPC"/>
    <hyperlink ref="E25" r:id="rId14" display="http://investing.money.msn.com/investments/charts/?symbol=TPC"/>
    <hyperlink ref="D25" r:id="rId15" display="http://investing.money.msn.com/investments/stock-price?symbol=TPC"/>
    <hyperlink ref="F24" r:id="rId16" display="http://money.msn.com/business-news/news.aspx?symbol=RRC"/>
    <hyperlink ref="E24" r:id="rId17" display="http://investing.money.msn.com/investments/charts/?symbol=RRC"/>
    <hyperlink ref="D24" r:id="rId18" display="http://investing.money.msn.com/investments/stock-price?symbol=RRC"/>
    <hyperlink ref="F23" r:id="rId19" display="http://money.msn.com/business-news/news.aspx?symbol=PSX"/>
    <hyperlink ref="E23" r:id="rId20" display="http://investing.money.msn.com/investments/charts/?symbol=PSX"/>
    <hyperlink ref="D23" r:id="rId21" display="http://investing.money.msn.com/investments/stock-price?symbol=PSX"/>
    <hyperlink ref="F22" r:id="rId22" display="http://money.msn.com/business-news/news.aspx?symbol=PRGO"/>
    <hyperlink ref="E22" r:id="rId23" display="http://investing.money.msn.com/investments/charts/?symbol=PRGO"/>
    <hyperlink ref="D22" r:id="rId24" display="http://investing.money.msn.com/investments/stock-price?symbol=PRGO"/>
    <hyperlink ref="F21" r:id="rId25" display="http://money.msn.com/business-news/news.aspx?symbol=NGVC"/>
    <hyperlink ref="E21" r:id="rId26" display="http://investing.money.msn.com/investments/charts/?symbol=NGVC"/>
    <hyperlink ref="D21" r:id="rId27" display="http://investing.money.msn.com/investments/stock-price?symbol=NGVC"/>
    <hyperlink ref="F20" r:id="rId28" display="http://money.msn.com/business-news/news.aspx?symbol=MDT"/>
    <hyperlink ref="E20" r:id="rId29" display="http://investing.money.msn.com/investments/charts/?symbol=MDT"/>
    <hyperlink ref="D20" r:id="rId30" display="http://investing.money.msn.com/investments/stock-price?symbol=MDT"/>
    <hyperlink ref="F19" r:id="rId31" display="http://money.msn.com/business-news/news.aspx?symbol=INTC"/>
    <hyperlink ref="E19" r:id="rId32" display="http://investing.money.msn.com/investments/charts/?symbol=INTC"/>
    <hyperlink ref="D19" r:id="rId33" display="http://investing.money.msn.com/investments/stock-price?symbol=INTC"/>
    <hyperlink ref="F18" r:id="rId34" display="http://money.msn.com/business-news/news.aspx?symbol=IMMR"/>
    <hyperlink ref="E18" r:id="rId35" display="http://investing.money.msn.com/investments/charts/?symbol=IMMR"/>
    <hyperlink ref="D18" r:id="rId36" display="http://investing.money.msn.com/investments/stock-price?symbol=IMMR"/>
    <hyperlink ref="F17" r:id="rId37" display="http://money.msn.com/business-news/news.aspx?symbol=HD"/>
    <hyperlink ref="E17" r:id="rId38" display="http://investing.money.msn.com/investments/charts/?symbol=HD"/>
    <hyperlink ref="D17" r:id="rId39" display="http://investing.money.msn.com/investments/stock-price?symbol=HD"/>
    <hyperlink ref="F16" r:id="rId40" display="http://money.msn.com/business-news/news.aspx?symbol=GNTX"/>
    <hyperlink ref="E16" r:id="rId41" display="http://investing.money.msn.com/investments/charts/?symbol=GNTX"/>
    <hyperlink ref="D16" r:id="rId42" display="http://investing.money.msn.com/investments/stock-price?symbol=GNTX"/>
    <hyperlink ref="F15" r:id="rId43" display="http://money.msn.com/business-news/news.aspx?symbol=DAL"/>
    <hyperlink ref="E15" r:id="rId44" display="http://investing.money.msn.com/investments/charts/?symbol=DAL"/>
    <hyperlink ref="D15" r:id="rId45" display="http://investing.money.msn.com/investments/stock-price?symbol=DAL"/>
    <hyperlink ref="F13" r:id="rId46" display="http://money.msn.com/business-news/news.aspx?symbol=CX"/>
    <hyperlink ref="E13" r:id="rId47" display="http://investing.money.msn.com/investments/charts/?symbol=CX"/>
    <hyperlink ref="D13" r:id="rId48" display="http://investing.money.msn.com/investments/stock-price?symbol=CX"/>
    <hyperlink ref="F14" r:id="rId49" display="http://money.msn.com/business-news/news.aspx?symbol=CSCO"/>
    <hyperlink ref="E14" r:id="rId50" display="http://investing.money.msn.com/investments/charts/?symbol=CSCO"/>
    <hyperlink ref="D14" r:id="rId51" display="http://investing.money.msn.com/investments/stock-price?symbol=CSCO"/>
    <hyperlink ref="F11" r:id="rId52" display="http://money.msn.com/business-news/news.aspx?symbol=BRK%2EB"/>
    <hyperlink ref="E11" r:id="rId53" display="http://investing.money.msn.com/investments/charts/?symbol=BRK%2EB"/>
    <hyperlink ref="D11" r:id="rId54" display="http://investing.money.msn.com/investments/stock-price?symbol=BRK%2EB"/>
    <hyperlink ref="F10" r:id="rId55" display="http://money.msn.com/business-news/news.aspx?symbol=%24COMPX"/>
    <hyperlink ref="E10" r:id="rId56" display="http://investing.money.msn.com/investments/charts/?symbol=%24COMPX"/>
    <hyperlink ref="D10" r:id="rId57" display="http://investing.money.msn.com/investments/stock-price?symbol=%24COMPX"/>
    <hyperlink ref="F9" r:id="rId58" display="http://money.msn.com/business-news/news.aspx?symbol=%24INX"/>
    <hyperlink ref="E9" r:id="rId59" display="http://investing.money.msn.com/investments/charts/?symbol=%24INX"/>
    <hyperlink ref="D9" r:id="rId60" display="http://investing.money.msn.com/investments/stock-price?symbol=%24INX"/>
    <hyperlink ref="F8" r:id="rId61" display="http://money.msn.com/business-news/news.aspx?symbol=%24COMP"/>
    <hyperlink ref="E8" r:id="rId62" display="http://investing.money.msn.com/investments/charts/?symbol=%24COMP"/>
    <hyperlink ref="D8" r:id="rId63" display="http://investing.money.msn.com/investments/stock-price?symbol=%24COMP"/>
    <hyperlink ref="F7" r:id="rId64" display="http://money.msn.com/business-news/news.aspx?symbol=%24INDU"/>
    <hyperlink ref="E7" r:id="rId65" display="http://investing.money.msn.com/investments/charts/?symbol=%24INDU"/>
    <hyperlink ref="D7" r:id="rId66" display="http://investing.money.msn.com/investments/stock-price?symbol=%24INDU"/>
    <hyperlink ref="D5" r:id="rId67" display="http://money.msn.com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5"/>
    <pageSetUpPr fitToPage="1"/>
  </sheetPr>
  <dimension ref="B1:J39"/>
  <sheetViews>
    <sheetView showGridLines="0" workbookViewId="0">
      <selection activeCell="E5" sqref="E5"/>
    </sheetView>
  </sheetViews>
  <sheetFormatPr baseColWidth="10" defaultColWidth="9.1640625" defaultRowHeight="13" x14ac:dyDescent="0.15"/>
  <cols>
    <col min="1" max="1" width="1.1640625" style="48" customWidth="1"/>
    <col min="2" max="3" width="2.5" style="48" customWidth="1"/>
    <col min="4" max="4" width="20.5" style="48" customWidth="1"/>
    <col min="5" max="5" width="11.6640625" style="48" customWidth="1"/>
    <col min="6" max="6" width="11.5" style="48" customWidth="1"/>
    <col min="7" max="7" width="18.1640625" style="48" customWidth="1"/>
    <col min="8" max="8" width="22.6640625" style="111" customWidth="1"/>
    <col min="9" max="9" width="2.6640625" style="48" customWidth="1"/>
    <col min="10" max="10" width="2.83203125" style="48" customWidth="1"/>
    <col min="11" max="11" width="1.5" style="48" customWidth="1"/>
    <col min="12" max="12" width="8.6640625" style="48" customWidth="1"/>
    <col min="13" max="13" width="12" style="48" bestFit="1" customWidth="1"/>
    <col min="14" max="14" width="13.6640625" style="48" bestFit="1" customWidth="1"/>
    <col min="15" max="16384" width="9.1640625" style="48"/>
  </cols>
  <sheetData>
    <row r="1" spans="2:10" ht="5.25" customHeight="1" thickBot="1" x14ac:dyDescent="0.2"/>
    <row r="2" spans="2:10" ht="14" thickBot="1" x14ac:dyDescent="0.2">
      <c r="B2" s="2"/>
      <c r="C2" s="3"/>
      <c r="D2" s="3"/>
      <c r="E2" s="3"/>
      <c r="F2" s="3"/>
      <c r="G2" s="3"/>
      <c r="H2" s="9"/>
      <c r="I2" s="3"/>
      <c r="J2" s="4"/>
    </row>
    <row r="3" spans="2:10" ht="14" thickBot="1" x14ac:dyDescent="0.2">
      <c r="B3" s="5"/>
      <c r="C3" s="13"/>
      <c r="D3" s="10"/>
      <c r="E3" s="10"/>
      <c r="F3" s="10"/>
      <c r="G3" s="187" t="s">
        <v>144</v>
      </c>
      <c r="H3" s="167">
        <v>42376</v>
      </c>
      <c r="I3" s="15"/>
      <c r="J3" s="6"/>
    </row>
    <row r="4" spans="2:10" ht="14" thickBot="1" x14ac:dyDescent="0.2">
      <c r="B4" s="5"/>
      <c r="C4" s="16"/>
      <c r="D4" s="163" t="s">
        <v>131</v>
      </c>
      <c r="E4" s="164" t="s">
        <v>74</v>
      </c>
      <c r="F4" s="164" t="s">
        <v>75</v>
      </c>
      <c r="G4" s="165" t="s">
        <v>3</v>
      </c>
      <c r="H4" s="166" t="s">
        <v>21</v>
      </c>
      <c r="I4" s="17"/>
      <c r="J4" s="6"/>
    </row>
    <row r="5" spans="2:10" x14ac:dyDescent="0.15">
      <c r="B5" s="5"/>
      <c r="C5" s="16"/>
      <c r="D5" s="118" t="s">
        <v>47</v>
      </c>
      <c r="E5" s="412">
        <f>SUMIF(Holdings!$T$4:$T$14,$D5,Holdings!$I$4:$I$14)</f>
        <v>9302.3700000000008</v>
      </c>
      <c r="F5" s="119">
        <f t="shared" ref="F5:F16" ca="1" si="0">E5/$E$17</f>
        <v>0.13472456044613004</v>
      </c>
      <c r="G5" s="53" t="str">
        <f t="shared" ref="G5:G13" ca="1" si="1">IF(F5&gt;0.2,"Overweight",IF(F5&gt;0.125,"Slightly Overweight",IF(F5&gt;0.08,"Equal Weight","Underweight")))</f>
        <v>Slightly Overweight</v>
      </c>
      <c r="H5" s="52" t="str">
        <f>(IF(D5="Cash","NA",COUNTIF(Holdings!$Q$4:$T$28,'V.P. of PM'!$D5)))</f>
        <v>NA</v>
      </c>
      <c r="I5" s="413"/>
      <c r="J5" s="6"/>
    </row>
    <row r="6" spans="2:10" x14ac:dyDescent="0.15">
      <c r="B6" s="5"/>
      <c r="C6" s="16"/>
      <c r="D6" s="116" t="s">
        <v>103</v>
      </c>
      <c r="E6" s="411">
        <f ca="1">SUMIF(Holdings!$T$4:$T$28,$D6,Holdings!$I$4:$I$27)</f>
        <v>0</v>
      </c>
      <c r="F6" s="117">
        <f t="shared" ca="1" si="0"/>
        <v>0</v>
      </c>
      <c r="G6" s="40" t="str">
        <f t="shared" ca="1" si="1"/>
        <v>Underweight</v>
      </c>
      <c r="H6" s="188">
        <f>(IF(D6="Cash","NA",COUNTIF(Holdings!$Q$4:$T$28,'V.P. of PM'!$D6)))</f>
        <v>0</v>
      </c>
      <c r="I6" s="413"/>
      <c r="J6" s="6"/>
    </row>
    <row r="7" spans="2:10" x14ac:dyDescent="0.15">
      <c r="B7" s="5"/>
      <c r="C7" s="16"/>
      <c r="D7" s="118" t="s">
        <v>89</v>
      </c>
      <c r="E7" s="412">
        <f ca="1">SUMIF(Holdings!$T$4:$T$28,$D7,Holdings!$I$4:$I$27)</f>
        <v>17847.043379999999</v>
      </c>
      <c r="F7" s="119">
        <f t="shared" ca="1" si="0"/>
        <v>0.25847553630241699</v>
      </c>
      <c r="G7" s="53" t="str">
        <f t="shared" ca="1" si="1"/>
        <v>Overweight</v>
      </c>
      <c r="H7" s="52">
        <f>(IF(D7="Cash","NA",COUNTIF(Holdings!$Q$4:$T$28,'V.P. of PM'!$D7)))</f>
        <v>4</v>
      </c>
      <c r="I7" s="413"/>
      <c r="J7" s="6"/>
    </row>
    <row r="8" spans="2:10" x14ac:dyDescent="0.15">
      <c r="B8" s="5"/>
      <c r="C8" s="16"/>
      <c r="D8" s="116" t="s">
        <v>90</v>
      </c>
      <c r="E8" s="411">
        <f ca="1">SUMIF(Holdings!$T$4:$T$28,$D8,Holdings!$I$4:$I$27)</f>
        <v>0</v>
      </c>
      <c r="F8" s="117">
        <f t="shared" ca="1" si="0"/>
        <v>0</v>
      </c>
      <c r="G8" s="40" t="str">
        <f t="shared" ca="1" si="1"/>
        <v>Underweight</v>
      </c>
      <c r="H8" s="188">
        <f>(IF(D8="Cash","NA",COUNTIF(Holdings!$Q$4:$T$28,'V.P. of PM'!$D8)))</f>
        <v>0</v>
      </c>
      <c r="I8" s="413"/>
      <c r="J8" s="6"/>
    </row>
    <row r="9" spans="2:10" x14ac:dyDescent="0.15">
      <c r="B9" s="7"/>
      <c r="C9" s="18"/>
      <c r="D9" s="118" t="s">
        <v>38</v>
      </c>
      <c r="E9" s="412">
        <f ca="1">SUMIF(Holdings!$T$4:$T$28,$D9,Holdings!$I$4:$I$27)</f>
        <v>0</v>
      </c>
      <c r="F9" s="119">
        <f t="shared" ca="1" si="0"/>
        <v>0</v>
      </c>
      <c r="G9" s="53" t="str">
        <f t="shared" ca="1" si="1"/>
        <v>Underweight</v>
      </c>
      <c r="H9" s="52">
        <f>(IF(D9="Cash","NA",COUNTIF(Holdings!$Q$4:$T$28,'V.P. of PM'!$D9)))</f>
        <v>0</v>
      </c>
      <c r="I9" s="413"/>
      <c r="J9" s="6"/>
    </row>
    <row r="10" spans="2:10" x14ac:dyDescent="0.15">
      <c r="B10" s="5"/>
      <c r="C10" s="16"/>
      <c r="D10" s="116" t="s">
        <v>2</v>
      </c>
      <c r="E10" s="411">
        <f ca="1">SUMIF(Holdings!$T$4:$T$28,$D10,Holdings!$I$4:$I$27)</f>
        <v>29457.533869999999</v>
      </c>
      <c r="F10" s="117">
        <f t="shared" ca="1" si="0"/>
        <v>0.42662819286512332</v>
      </c>
      <c r="G10" s="40" t="str">
        <f t="shared" ca="1" si="1"/>
        <v>Overweight</v>
      </c>
      <c r="H10" s="188">
        <f>(IF(D10="Cash","NA",COUNTIF(Holdings!$Q$4:$T$28,'V.P. of PM'!$D10)))</f>
        <v>5</v>
      </c>
      <c r="I10" s="413"/>
      <c r="J10" s="6"/>
    </row>
    <row r="11" spans="2:10" x14ac:dyDescent="0.15">
      <c r="B11" s="5"/>
      <c r="C11" s="16"/>
      <c r="D11" s="118" t="s">
        <v>128</v>
      </c>
      <c r="E11" s="412">
        <f ca="1">SUMIF(Holdings!$T$4:$T$28,$D11,Holdings!$I$4:$I$27)</f>
        <v>0</v>
      </c>
      <c r="F11" s="119">
        <f t="shared" ca="1" si="0"/>
        <v>0</v>
      </c>
      <c r="G11" s="53" t="str">
        <f t="shared" ca="1" si="1"/>
        <v>Underweight</v>
      </c>
      <c r="H11" s="52">
        <f>(IF(D11="Cash","NA",COUNTIF(Holdings!$Q$4:$T$28,'V.P. of PM'!$D11)))</f>
        <v>0</v>
      </c>
      <c r="I11" s="413"/>
      <c r="J11" s="6"/>
    </row>
    <row r="12" spans="2:10" x14ac:dyDescent="0.15">
      <c r="B12" s="5"/>
      <c r="C12" s="16"/>
      <c r="D12" s="116" t="s">
        <v>15</v>
      </c>
      <c r="E12" s="411">
        <f ca="1">SUMIF(Holdings!$T$4:$T$28,$D12,Holdings!$I$4:$I$27)</f>
        <v>0</v>
      </c>
      <c r="F12" s="117">
        <f t="shared" ca="1" si="0"/>
        <v>0</v>
      </c>
      <c r="G12" s="40" t="str">
        <f t="shared" ca="1" si="1"/>
        <v>Underweight</v>
      </c>
      <c r="H12" s="188">
        <f>(IF(D12="Cash","NA",COUNTIF(Holdings!$Q$4:$T$28,'V.P. of PM'!$D12)))</f>
        <v>0</v>
      </c>
      <c r="I12" s="413"/>
      <c r="J12" s="6"/>
    </row>
    <row r="13" spans="2:10" x14ac:dyDescent="0.15">
      <c r="B13" s="5"/>
      <c r="C13" s="16"/>
      <c r="D13" s="118" t="s">
        <v>91</v>
      </c>
      <c r="E13" s="412">
        <f ca="1">SUMIF(Holdings!$T$4:$T$28,$D13,Holdings!$I$4:$I$27)</f>
        <v>9310.3739600000008</v>
      </c>
      <c r="F13" s="119">
        <f t="shared" ca="1" si="0"/>
        <v>0.13484048036684146</v>
      </c>
      <c r="G13" s="53" t="str">
        <f t="shared" ca="1" si="1"/>
        <v>Slightly Overweight</v>
      </c>
      <c r="H13" s="52">
        <f>(IF(D13="Cash","NA",COUNTIF(Holdings!$Q$4:$T$28,'V.P. of PM'!$D13)))</f>
        <v>3</v>
      </c>
      <c r="I13" s="413"/>
      <c r="J13" s="6"/>
    </row>
    <row r="14" spans="2:10" x14ac:dyDescent="0.15">
      <c r="B14" s="5"/>
      <c r="C14" s="16"/>
      <c r="D14" s="116" t="s">
        <v>14</v>
      </c>
      <c r="E14" s="411">
        <f ca="1">SUMIF(Holdings!$T$4:$T$28,$D14,Holdings!$I$4:$I$27)</f>
        <v>0</v>
      </c>
      <c r="F14" s="117">
        <f t="shared" ca="1" si="0"/>
        <v>0</v>
      </c>
      <c r="G14" s="40" t="str">
        <f t="shared" ref="G14:G16" ca="1" si="2">IF(F14&gt;0.2,"Overweight",IF(F14&gt;0.125,"Slightly Overweight",IF(F14&gt;0.08,"Equal Weight","Underweight")))</f>
        <v>Underweight</v>
      </c>
      <c r="H14" s="188">
        <f>(IF(D14="Cash","NA",COUNTIF(Holdings!$Q$4:$T$28,'V.P. of PM'!$D14)))</f>
        <v>0</v>
      </c>
      <c r="I14" s="413"/>
      <c r="J14" s="6"/>
    </row>
    <row r="15" spans="2:10" x14ac:dyDescent="0.15">
      <c r="B15" s="5"/>
      <c r="C15" s="16"/>
      <c r="D15" s="118" t="s">
        <v>39</v>
      </c>
      <c r="E15" s="412">
        <f ca="1">SUMIF(Holdings!$T$4:$T$28,$D15,Holdings!$I$4:$I$27)</f>
        <v>0</v>
      </c>
      <c r="F15" s="119">
        <f t="shared" ca="1" si="0"/>
        <v>0</v>
      </c>
      <c r="G15" s="53" t="str">
        <f t="shared" ca="1" si="2"/>
        <v>Underweight</v>
      </c>
      <c r="H15" s="52">
        <f>(IF(D15="Cash","NA",COUNTIF(Holdings!$Q$4:$T$28,'V.P. of PM'!$D15)))</f>
        <v>0</v>
      </c>
      <c r="I15" s="413"/>
      <c r="J15" s="6"/>
    </row>
    <row r="16" spans="2:10" ht="12.75" customHeight="1" thickBot="1" x14ac:dyDescent="0.2">
      <c r="B16" s="5"/>
      <c r="C16" s="16"/>
      <c r="D16" s="116" t="s">
        <v>129</v>
      </c>
      <c r="E16" s="411">
        <f ca="1">SUMIF(Holdings!$T$4:$T$28,$D16,Holdings!$I$4:$I$27)</f>
        <v>3130</v>
      </c>
      <c r="F16" s="117">
        <f t="shared" ca="1" si="0"/>
        <v>4.5331230019488258E-2</v>
      </c>
      <c r="G16" s="40" t="str">
        <f t="shared" ca="1" si="2"/>
        <v>Underweight</v>
      </c>
      <c r="H16" s="188">
        <f>(IF(D16="Cash","NA",COUNTIF(Holdings!$Q$4:$T$28,'V.P. of PM'!$D16)))</f>
        <v>1</v>
      </c>
      <c r="I16" s="413"/>
      <c r="J16" s="6"/>
    </row>
    <row r="17" spans="2:10" ht="14" thickBot="1" x14ac:dyDescent="0.2">
      <c r="B17" s="5"/>
      <c r="C17" s="16"/>
      <c r="D17" s="120" t="s">
        <v>4</v>
      </c>
      <c r="E17" s="121">
        <f ca="1">SUM(E5:E16)</f>
        <v>69047.321209999995</v>
      </c>
      <c r="F17" s="122">
        <f ca="1">SUM(F5:F16)</f>
        <v>1.0000000000000002</v>
      </c>
      <c r="G17" s="123"/>
      <c r="H17" s="124">
        <f>(SUM(H5:H16))</f>
        <v>13</v>
      </c>
      <c r="I17" s="17"/>
      <c r="J17" s="6"/>
    </row>
    <row r="18" spans="2:10" ht="14" thickBot="1" x14ac:dyDescent="0.2">
      <c r="B18" s="5"/>
      <c r="C18" s="16"/>
      <c r="D18" s="10"/>
      <c r="E18" s="10"/>
      <c r="F18" s="10"/>
      <c r="G18" s="10"/>
      <c r="H18" s="14"/>
      <c r="I18" s="17"/>
      <c r="J18" s="6"/>
    </row>
    <row r="19" spans="2:10" ht="14" thickBot="1" x14ac:dyDescent="0.2">
      <c r="B19" s="5"/>
      <c r="C19" s="16"/>
      <c r="D19" s="10"/>
      <c r="E19" s="10"/>
      <c r="F19" s="10"/>
      <c r="G19" s="10"/>
      <c r="H19" s="14"/>
      <c r="I19" s="17"/>
      <c r="J19" s="6"/>
    </row>
    <row r="20" spans="2:10" x14ac:dyDescent="0.15">
      <c r="B20" s="5"/>
      <c r="C20" s="16"/>
      <c r="D20" s="125" t="s">
        <v>81</v>
      </c>
      <c r="E20" s="126" t="s">
        <v>22</v>
      </c>
      <c r="F20" s="126" t="s">
        <v>19</v>
      </c>
      <c r="G20" s="520" t="s">
        <v>23</v>
      </c>
      <c r="H20" s="521"/>
      <c r="I20" s="17"/>
      <c r="J20" s="6"/>
    </row>
    <row r="21" spans="2:10" ht="31" customHeight="1" x14ac:dyDescent="0.15">
      <c r="B21" s="5"/>
      <c r="C21" s="16"/>
      <c r="D21" s="147" t="s">
        <v>24</v>
      </c>
      <c r="E21" s="148">
        <f ca="1">OFFSET(Data!$G$3,MATCH($H$3,Data!$B$3:$B$1000,0)-1,,)</f>
        <v>-3.8530272966287082E-2</v>
      </c>
      <c r="F21" s="148">
        <f ca="1">OFFSET(Data!M3,MATCH(H3,Data!B3:B1000,0)-1,,)</f>
        <v>-4.9340978698004911E-2</v>
      </c>
      <c r="G21" s="522" t="str">
        <f ca="1">"IPO "&amp;IF(E21&gt;F21,"out-performed","under-performed")&amp;" the S&amp;P 500 by "&amp;ABS(ROUND((E21-F21),4))*100&amp;"%."</f>
        <v>IPO out-performed the S&amp;P 500 by 1.08%.</v>
      </c>
      <c r="H21" s="523"/>
      <c r="I21" s="17"/>
      <c r="J21" s="6"/>
    </row>
    <row r="22" spans="2:10" ht="30" customHeight="1" x14ac:dyDescent="0.15">
      <c r="B22" s="5"/>
      <c r="C22" s="16"/>
      <c r="D22" s="147" t="s">
        <v>99</v>
      </c>
      <c r="E22" s="148">
        <f ca="1">((OFFSET(Data!$D$3,MATCH($H$3,Data!$B$3:$B$1000,0)-1,,)-(OFFSET(Data!$D$3,MATCH($H$3,Data!$B$3:$B$1000,0)-5,,)))/(OFFSET(Data!$D$3,MATCH($H$3,Data!$B$3:$B$1000,0)-5,,)))</f>
        <v>-4.2179159353716952E-2</v>
      </c>
      <c r="F22" s="148">
        <f ca="1">((OFFSET(Data!$L$3,MATCH($H$3,Data!$B$3:$B$1000,0)-1,,)-(OFFSET(Data!$L$3,MATCH($H$3,Data!$B$3:$B$1000,0)-5,,)))/(OFFSET(Data!$L$3,MATCH($H$3,Data!$B$3:$B$1000,0)-5,,)))</f>
        <v>-5.3181173650126985E-2</v>
      </c>
      <c r="G22" s="522" t="str">
        <f t="shared" ref="G22:G26" ca="1" si="3">"IPO "&amp;IF(E22&gt;F22,"out-performed","under-performed")&amp;" the S&amp;P 500 by "&amp;ABS(ROUND((E22-F22),4))*100&amp;"%."</f>
        <v>IPO out-performed the S&amp;P 500 by 1.1%.</v>
      </c>
      <c r="H22" s="523"/>
      <c r="I22" s="17"/>
      <c r="J22" s="6"/>
    </row>
    <row r="23" spans="2:10" ht="24.5" customHeight="1" x14ac:dyDescent="0.15">
      <c r="B23" s="5"/>
      <c r="C23" s="16"/>
      <c r="D23" s="147" t="s">
        <v>79</v>
      </c>
      <c r="E23" s="148">
        <f ca="1">((OFFSET(Data!$D$3,MATCH($H$3,Data!$B$3:$B$1000,0)-1,,)-(OFFSET(Data!$D$3,MATCH($H$3,Data!$B$3:$B$1000,0)-14,,)))/(OFFSET(Data!$D$3,MATCH($H$3,Data!$B$3:$B$1000,0)-14,,)))</f>
        <v>-1.1310990907912327E-2</v>
      </c>
      <c r="F23" s="148">
        <f ca="1">((OFFSET(Data!$L$3,MATCH($H$3,Data!$B$3:$B$1000,0)-1,,)-(OFFSET(Data!$L$3,MATCH($H$3,Data!$B$3:$B$1000,0)-14,,)))/(OFFSET(Data!$L$3,MATCH($H$3,Data!$B$3:$B$1000,0)-14,,)))</f>
        <v>-3.4935408730375601E-2</v>
      </c>
      <c r="G23" s="522" t="str">
        <f t="shared" ca="1" si="3"/>
        <v>IPO out-performed the S&amp;P 500 by 2.36%.</v>
      </c>
      <c r="H23" s="523"/>
      <c r="I23" s="17"/>
      <c r="J23" s="6"/>
    </row>
    <row r="24" spans="2:10" ht="24.5" customHeight="1" x14ac:dyDescent="0.15">
      <c r="B24" s="5"/>
      <c r="C24" s="16"/>
      <c r="D24" s="147" t="s">
        <v>80</v>
      </c>
      <c r="E24" s="148">
        <f ca="1">((OFFSET(Data!$D$3,MATCH($H$3,Data!$B$3:$B$1000,0)-1,,)-(OFFSET(Data!$D$3,MATCH($H$3,Data!$B$3:$B$1000,0)-27,,)))/(OFFSET(Data!$D$3,MATCH($H$3,Data!$B$3:$B$1000,0)-27,,)))</f>
        <v>-2.2552752179353569E-2</v>
      </c>
      <c r="F24" s="148">
        <f ca="1">((OFFSET(Data!$L$3,MATCH($H$3,Data!$B$3:$B$1000,0)-1,,)-(OFFSET(Data!$L$3,MATCH($H$3,Data!$B$3:$B$1000,0)-27,,)))/(OFFSET(Data!$L$3,MATCH($H$3,Data!$B$3:$B$1000,0)-27,,)))</f>
        <v>-5.2756531192262521E-2</v>
      </c>
      <c r="G24" s="522" t="str">
        <f t="shared" ca="1" si="3"/>
        <v>IPO out-performed the S&amp;P 500 by 3.02%.</v>
      </c>
      <c r="H24" s="523"/>
      <c r="I24" s="17"/>
      <c r="J24" s="6"/>
    </row>
    <row r="25" spans="2:10" ht="25" customHeight="1" x14ac:dyDescent="0.15">
      <c r="B25" s="5"/>
      <c r="C25" s="16"/>
      <c r="D25" s="147" t="s">
        <v>25</v>
      </c>
      <c r="E25" s="148">
        <f ca="1">((OFFSET(Data!$D$3,MATCH($H$3,Data!$B$3:$B$1000,0)-1,,)-(OFFSET(Data!$D$3,MATCH($H$3,Data!$B$3:$B$1000,0)-53,,)))/(OFFSET(Data!$D$3,MATCH($H$3,Data!$B$3:$B$1000,0)-53,,)))</f>
        <v>-2.9695043260710968E-2</v>
      </c>
      <c r="F25" s="148">
        <f ca="1">((OFFSET(Data!$L$3,MATCH($H$3,Data!$B$3:$B$1000,0)-1,,)-(OFFSET(Data!$L$3,MATCH($H$3,Data!$B$3:$B$1000,0)-53,,)))/(OFFSET(Data!$L$3,MATCH($H$3,Data!$B$3:$B$1000,0)-53,,)))</f>
        <v>-5.7731288855266842E-2</v>
      </c>
      <c r="G25" s="522" t="str">
        <f t="shared" ca="1" si="3"/>
        <v>IPO out-performed the S&amp;P 500 by 2.8%.</v>
      </c>
      <c r="H25" s="523"/>
      <c r="I25" s="17"/>
      <c r="J25" s="6"/>
    </row>
    <row r="26" spans="2:10" ht="27.5" customHeight="1" thickBot="1" x14ac:dyDescent="0.2">
      <c r="B26" s="5"/>
      <c r="C26" s="16"/>
      <c r="D26" s="149" t="s">
        <v>26</v>
      </c>
      <c r="E26" s="148">
        <f ca="1">((OFFSET(Data!$D$3,MATCH($H$3,Data!$B$3:$B$1000,0)-1,,)-(OFFSET(Data!$D$3,MATCH($H$3,Data!$B$3:$B$1000,0)-105,,)))/(OFFSET(Data!$D$3,MATCH($H$3,Data!$B$3:$B$1000,0)-105,,)))</f>
        <v>8.0466420499040181E-2</v>
      </c>
      <c r="F26" s="148">
        <f ca="1">((OFFSET(Data!$L$3,MATCH($H$3,Data!$B$3:$B$1000,0)-1,,)-(OFFSET(Data!$L$3,MATCH($H$3,Data!$B$3:$B$1000,0)-105,,)))/(OFFSET(Data!$L$3,MATCH($H$3,Data!$B$3:$B$1000,0)-105,,)))</f>
        <v>5.7101510774537061E-2</v>
      </c>
      <c r="G26" s="522" t="str">
        <f t="shared" ca="1" si="3"/>
        <v>IPO out-performed the S&amp;P 500 by 2.34%.</v>
      </c>
      <c r="H26" s="523"/>
      <c r="I26" s="17"/>
      <c r="J26" s="6"/>
    </row>
    <row r="27" spans="2:10" ht="14" thickBot="1" x14ac:dyDescent="0.2">
      <c r="B27" s="5"/>
      <c r="C27" s="16"/>
      <c r="D27" s="12"/>
      <c r="E27" s="12"/>
      <c r="F27" s="12"/>
      <c r="G27" s="12"/>
      <c r="H27" s="127"/>
      <c r="I27" s="17"/>
      <c r="J27" s="6"/>
    </row>
    <row r="28" spans="2:10" ht="14" thickBot="1" x14ac:dyDescent="0.2">
      <c r="B28" s="5"/>
      <c r="C28" s="16"/>
      <c r="D28" s="1"/>
      <c r="E28" s="1"/>
      <c r="F28" s="1"/>
      <c r="G28" s="1"/>
      <c r="H28" s="112"/>
      <c r="I28" s="17"/>
      <c r="J28" s="6"/>
    </row>
    <row r="29" spans="2:10" x14ac:dyDescent="0.15">
      <c r="B29" s="5"/>
      <c r="C29" s="16"/>
      <c r="D29" s="125" t="s">
        <v>5</v>
      </c>
      <c r="E29" s="520" t="s">
        <v>134</v>
      </c>
      <c r="F29" s="520"/>
      <c r="G29" s="520" t="s">
        <v>133</v>
      </c>
      <c r="H29" s="521"/>
      <c r="I29" s="17"/>
      <c r="J29" s="6"/>
    </row>
    <row r="30" spans="2:10" x14ac:dyDescent="0.15">
      <c r="B30" s="5"/>
      <c r="C30" s="16"/>
      <c r="D30" s="128" t="s">
        <v>6</v>
      </c>
      <c r="E30" s="519">
        <f ca="1">SUMIF(Holdings!$W$4:$W$28,$D30,Holdings!$I$4:$I$27)</f>
        <v>0</v>
      </c>
      <c r="F30" s="519"/>
      <c r="G30" s="517" t="e">
        <f t="shared" ref="G30:G35" ca="1" si="4">E30/$E$36</f>
        <v>#DIV/0!</v>
      </c>
      <c r="H30" s="518"/>
      <c r="I30" s="17"/>
      <c r="J30" s="6"/>
    </row>
    <row r="31" spans="2:10" x14ac:dyDescent="0.15">
      <c r="B31" s="5"/>
      <c r="C31" s="16"/>
      <c r="D31" s="128" t="s">
        <v>76</v>
      </c>
      <c r="E31" s="519">
        <f ca="1">SUMIF(Holdings!$W$4:$W$28,$D31,Holdings!$I$4:$I$27)</f>
        <v>0</v>
      </c>
      <c r="F31" s="519"/>
      <c r="G31" s="517" t="e">
        <f t="shared" ca="1" si="4"/>
        <v>#DIV/0!</v>
      </c>
      <c r="H31" s="518"/>
      <c r="I31" s="17"/>
      <c r="J31" s="6"/>
    </row>
    <row r="32" spans="2:10" x14ac:dyDescent="0.15">
      <c r="B32" s="5"/>
      <c r="C32" s="16"/>
      <c r="D32" s="128" t="s">
        <v>132</v>
      </c>
      <c r="E32" s="519">
        <f ca="1">SUMIF(Holdings!$W$4:$W$28,$D32,Holdings!$I$4:$I$27)</f>
        <v>0</v>
      </c>
      <c r="F32" s="519"/>
      <c r="G32" s="517" t="e">
        <f t="shared" ca="1" si="4"/>
        <v>#DIV/0!</v>
      </c>
      <c r="H32" s="518"/>
      <c r="I32" s="17"/>
      <c r="J32" s="6"/>
    </row>
    <row r="33" spans="2:10" x14ac:dyDescent="0.15">
      <c r="B33" s="5"/>
      <c r="C33" s="16"/>
      <c r="D33" s="128" t="s">
        <v>103</v>
      </c>
      <c r="E33" s="519">
        <f ca="1">SUMIF(Holdings!$W$4:$W$28,$D33,Holdings!$I$4:$I$27)</f>
        <v>0</v>
      </c>
      <c r="F33" s="519"/>
      <c r="G33" s="517" t="e">
        <f t="shared" ca="1" si="4"/>
        <v>#DIV/0!</v>
      </c>
      <c r="H33" s="518"/>
      <c r="I33" s="17"/>
      <c r="J33" s="6"/>
    </row>
    <row r="34" spans="2:10" x14ac:dyDescent="0.15">
      <c r="B34" s="5"/>
      <c r="C34" s="16"/>
      <c r="D34" s="415" t="s">
        <v>244</v>
      </c>
      <c r="E34" s="519">
        <f ca="1">SUMIF(Holdings!$W$4:$W$28,$D34,Holdings!$I$4:$I$27)</f>
        <v>0</v>
      </c>
      <c r="F34" s="519"/>
      <c r="G34" s="517" t="e">
        <f t="shared" ca="1" si="4"/>
        <v>#DIV/0!</v>
      </c>
      <c r="H34" s="518"/>
      <c r="I34" s="17"/>
      <c r="J34" s="6"/>
    </row>
    <row r="35" spans="2:10" ht="14" thickBot="1" x14ac:dyDescent="0.2">
      <c r="B35" s="5"/>
      <c r="C35" s="16"/>
      <c r="D35" s="415" t="s">
        <v>47</v>
      </c>
      <c r="E35" s="514">
        <f ca="1">SUMIF(Holdings!$W$4:$W$28,$D35,Holdings!$I$4:$I$27)</f>
        <v>0</v>
      </c>
      <c r="F35" s="514"/>
      <c r="G35" s="517" t="e">
        <f t="shared" ca="1" si="4"/>
        <v>#DIV/0!</v>
      </c>
      <c r="H35" s="518"/>
      <c r="I35" s="17"/>
      <c r="J35" s="6"/>
    </row>
    <row r="36" spans="2:10" ht="15" thickTop="1" thickBot="1" x14ac:dyDescent="0.2">
      <c r="B36" s="5"/>
      <c r="C36" s="16"/>
      <c r="D36" s="414" t="s">
        <v>135</v>
      </c>
      <c r="E36" s="513">
        <f ca="1">SUM(E30:E35)</f>
        <v>0</v>
      </c>
      <c r="F36" s="513"/>
      <c r="G36" s="515" t="e">
        <f ca="1">SUM(G30:G35)</f>
        <v>#DIV/0!</v>
      </c>
      <c r="H36" s="516"/>
      <c r="I36" s="17"/>
      <c r="J36" s="6"/>
    </row>
    <row r="37" spans="2:10" ht="14" thickBot="1" x14ac:dyDescent="0.2">
      <c r="B37" s="5"/>
      <c r="C37" s="133"/>
      <c r="D37" s="11"/>
      <c r="E37" s="11"/>
      <c r="F37" s="11"/>
      <c r="G37" s="11"/>
      <c r="H37" s="19"/>
      <c r="I37" s="132"/>
      <c r="J37" s="6"/>
    </row>
    <row r="38" spans="2:10" ht="14" thickBot="1" x14ac:dyDescent="0.2">
      <c r="B38" s="8"/>
      <c r="C38" s="114"/>
      <c r="D38" s="114"/>
      <c r="E38" s="114"/>
      <c r="F38" s="114"/>
      <c r="G38" s="114"/>
      <c r="H38" s="115"/>
      <c r="I38" s="114"/>
      <c r="J38" s="113"/>
    </row>
    <row r="39" spans="2:10" x14ac:dyDescent="0.15">
      <c r="B39" s="1"/>
      <c r="C39" s="1"/>
      <c r="D39" s="1"/>
      <c r="E39" s="1"/>
      <c r="F39" s="1"/>
      <c r="G39" s="1"/>
      <c r="H39" s="112"/>
      <c r="I39" s="1"/>
      <c r="J39" s="1"/>
    </row>
  </sheetData>
  <mergeCells count="23">
    <mergeCell ref="E30:F30"/>
    <mergeCell ref="G25:H25"/>
    <mergeCell ref="G29:H29"/>
    <mergeCell ref="E29:F29"/>
    <mergeCell ref="G32:H32"/>
    <mergeCell ref="G26:H26"/>
    <mergeCell ref="G30:H30"/>
    <mergeCell ref="G20:H20"/>
    <mergeCell ref="G21:H21"/>
    <mergeCell ref="G22:H22"/>
    <mergeCell ref="G23:H23"/>
    <mergeCell ref="G31:H31"/>
    <mergeCell ref="G24:H24"/>
    <mergeCell ref="E36:F36"/>
    <mergeCell ref="E35:F35"/>
    <mergeCell ref="G36:H36"/>
    <mergeCell ref="G33:H33"/>
    <mergeCell ref="E31:F31"/>
    <mergeCell ref="G35:H35"/>
    <mergeCell ref="E33:F33"/>
    <mergeCell ref="E32:F32"/>
    <mergeCell ref="E34:F34"/>
    <mergeCell ref="G34:H34"/>
  </mergeCells>
  <phoneticPr fontId="10" type="noConversion"/>
  <conditionalFormatting sqref="E21">
    <cfRule type="cellIs" dxfId="17" priority="3" operator="lessThan">
      <formula>0</formula>
    </cfRule>
  </conditionalFormatting>
  <conditionalFormatting sqref="F21">
    <cfRule type="cellIs" dxfId="16" priority="2" operator="lessThan">
      <formula>0</formula>
    </cfRule>
  </conditionalFormatting>
  <conditionalFormatting sqref="E22:F26">
    <cfRule type="cellIs" dxfId="15" priority="1" operator="lessThan">
      <formula>0</formula>
    </cfRule>
  </conditionalFormatting>
  <printOptions horizontalCentered="1" verticalCentered="1"/>
  <pageMargins left="0.75" right="0.75" top="1" bottom="1" header="0.5" footer="0.5"/>
  <headerFooter>
    <oddHeader>&amp;LPortfolio Management&amp;R&amp;D</oddHeader>
    <oddFooter>&amp;CSeidman I.P.O. _x000D_"Education, Experience, Opportunity"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indexed="11"/>
    <pageSetUpPr fitToPage="1"/>
  </sheetPr>
  <dimension ref="A1:AL780"/>
  <sheetViews>
    <sheetView topLeftCell="B685" workbookViewId="0">
      <selection activeCell="Q720" sqref="Q720"/>
    </sheetView>
  </sheetViews>
  <sheetFormatPr baseColWidth="10" defaultColWidth="8.83203125" defaultRowHeight="13" x14ac:dyDescent="0.15"/>
  <cols>
    <col min="1" max="1" width="5" style="374" hidden="1" customWidth="1"/>
    <col min="2" max="2" width="10.5" style="398" customWidth="1"/>
    <col min="3" max="3" width="2.1640625" style="370" customWidth="1"/>
    <col min="4" max="4" width="12.33203125" style="390" bestFit="1" customWidth="1"/>
    <col min="5" max="5" width="11.5" style="387" bestFit="1" customWidth="1"/>
    <col min="6" max="6" width="10.5" style="387" bestFit="1" customWidth="1"/>
    <col min="7" max="7" width="9.33203125" style="388" customWidth="1"/>
    <col min="8" max="8" width="10.33203125" style="387" bestFit="1" customWidth="1"/>
    <col min="9" max="9" width="8.33203125" style="388" bestFit="1" customWidth="1"/>
    <col min="10" max="10" width="7.33203125" style="375" hidden="1" customWidth="1"/>
    <col min="11" max="11" width="2.1640625" style="370" customWidth="1"/>
    <col min="12" max="12" width="8.6640625" style="369" bestFit="1" customWidth="1"/>
    <col min="13" max="13" width="9.83203125" style="394" bestFit="1" customWidth="1"/>
    <col min="14" max="14" width="9.1640625" style="394" customWidth="1"/>
    <col min="15" max="15" width="6.5" style="395" customWidth="1"/>
    <col min="16" max="16" width="4.33203125" style="396" customWidth="1"/>
    <col min="17" max="17" width="9.1640625" style="394" customWidth="1"/>
    <col min="18" max="18" width="2.1640625" style="375" customWidth="1"/>
    <col min="19" max="19" width="9.6640625" style="369" bestFit="1" customWidth="1"/>
    <col min="20" max="20" width="9.83203125" style="394" bestFit="1" customWidth="1"/>
    <col min="21" max="21" width="9.1640625" style="394" customWidth="1"/>
    <col min="22" max="22" width="6.5" style="395" customWidth="1"/>
    <col min="23" max="23" width="4.33203125" style="396" customWidth="1"/>
    <col min="24" max="24" width="9.1640625" style="394" customWidth="1"/>
    <col min="25" max="25" width="6.5" style="463" hidden="1" customWidth="1"/>
    <col min="26" max="26" width="8.5" style="464" hidden="1" customWidth="1"/>
    <col min="27" max="27" width="11.33203125" style="465" hidden="1" customWidth="1"/>
    <col min="28" max="28" width="10.5" style="465" hidden="1" customWidth="1"/>
    <col min="29" max="29" width="8.83203125" style="374" customWidth="1"/>
    <col min="30" max="16384" width="8.83203125" style="374"/>
  </cols>
  <sheetData>
    <row r="1" spans="1:30" ht="28" x14ac:dyDescent="0.3">
      <c r="D1" s="389" t="s">
        <v>1</v>
      </c>
      <c r="E1" s="385"/>
      <c r="F1" s="385"/>
      <c r="G1" s="386"/>
      <c r="H1" s="385"/>
      <c r="I1" s="386"/>
      <c r="L1" s="367" t="s">
        <v>0</v>
      </c>
      <c r="M1" s="391"/>
      <c r="N1" s="391"/>
      <c r="O1" s="392"/>
      <c r="P1" s="393"/>
      <c r="Q1" s="391"/>
      <c r="S1" s="367" t="s">
        <v>233</v>
      </c>
      <c r="T1" s="397"/>
      <c r="U1" s="397"/>
      <c r="V1" s="397"/>
      <c r="W1" s="397"/>
      <c r="X1" s="397"/>
      <c r="Z1" s="524" t="s">
        <v>72</v>
      </c>
      <c r="AA1" s="525"/>
      <c r="AB1" s="526"/>
    </row>
    <row r="2" spans="1:30" s="379" customFormat="1" ht="98.25" customHeight="1" thickBot="1" x14ac:dyDescent="0.2">
      <c r="A2" s="376" t="s">
        <v>94</v>
      </c>
      <c r="B2" s="399" t="s">
        <v>108</v>
      </c>
      <c r="C2" s="371"/>
      <c r="D2" s="368" t="s">
        <v>112</v>
      </c>
      <c r="E2" s="366" t="s">
        <v>82</v>
      </c>
      <c r="F2" s="366" t="s">
        <v>113</v>
      </c>
      <c r="G2" s="366" t="s">
        <v>127</v>
      </c>
      <c r="H2" s="366" t="s">
        <v>114</v>
      </c>
      <c r="I2" s="366" t="s">
        <v>115</v>
      </c>
      <c r="J2" s="377"/>
      <c r="K2" s="371"/>
      <c r="L2" s="368" t="s">
        <v>116</v>
      </c>
      <c r="M2" s="366" t="s">
        <v>117</v>
      </c>
      <c r="N2" s="366" t="s">
        <v>68</v>
      </c>
      <c r="O2" s="366" t="s">
        <v>182</v>
      </c>
      <c r="P2" s="366" t="s">
        <v>189</v>
      </c>
      <c r="Q2" s="366" t="s">
        <v>184</v>
      </c>
      <c r="R2" s="378"/>
      <c r="S2" s="368" t="s">
        <v>69</v>
      </c>
      <c r="T2" s="366" t="s">
        <v>70</v>
      </c>
      <c r="U2" s="366" t="s">
        <v>71</v>
      </c>
      <c r="V2" s="366" t="s">
        <v>188</v>
      </c>
      <c r="W2" s="366" t="s">
        <v>189</v>
      </c>
      <c r="X2" s="366" t="s">
        <v>192</v>
      </c>
      <c r="Y2" s="366" t="s">
        <v>192</v>
      </c>
      <c r="Z2" s="366" t="s">
        <v>192</v>
      </c>
      <c r="AA2" s="366" t="s">
        <v>192</v>
      </c>
      <c r="AB2" s="366" t="s">
        <v>192</v>
      </c>
      <c r="AC2" s="366" t="s">
        <v>284</v>
      </c>
      <c r="AD2" s="366" t="s">
        <v>285</v>
      </c>
    </row>
    <row r="3" spans="1:30" s="383" customFormat="1" ht="12.75" customHeight="1" x14ac:dyDescent="0.15">
      <c r="A3" s="380">
        <v>1</v>
      </c>
      <c r="B3" s="400">
        <v>37743</v>
      </c>
      <c r="C3" s="372"/>
      <c r="D3" s="390">
        <v>22855.85</v>
      </c>
      <c r="E3" s="387">
        <f>D3</f>
        <v>22855.85</v>
      </c>
      <c r="F3" s="387" t="s">
        <v>126</v>
      </c>
      <c r="G3" s="388" t="s">
        <v>126</v>
      </c>
      <c r="H3" s="387" t="s">
        <v>126</v>
      </c>
      <c r="I3" s="388" t="s">
        <v>126</v>
      </c>
      <c r="J3" s="381"/>
      <c r="K3" s="372"/>
      <c r="L3" s="369">
        <v>930.08</v>
      </c>
      <c r="M3" s="394" t="s">
        <v>126</v>
      </c>
      <c r="N3" s="394" t="s">
        <v>126</v>
      </c>
      <c r="O3" s="395"/>
      <c r="P3" s="396"/>
      <c r="Q3" s="394"/>
      <c r="R3" s="382"/>
      <c r="S3" s="369">
        <v>8582.68</v>
      </c>
      <c r="T3" s="394" t="s">
        <v>126</v>
      </c>
      <c r="U3" s="394" t="s">
        <v>126</v>
      </c>
      <c r="V3" s="395"/>
      <c r="W3" s="396"/>
      <c r="X3" s="394"/>
      <c r="Y3" s="463"/>
      <c r="Z3" s="466">
        <v>1502.88</v>
      </c>
      <c r="AA3" s="467" t="s">
        <v>126</v>
      </c>
      <c r="AB3" s="467" t="s">
        <v>126</v>
      </c>
    </row>
    <row r="4" spans="1:30" x14ac:dyDescent="0.15">
      <c r="A4" s="384">
        <f>A3+1</f>
        <v>2</v>
      </c>
      <c r="B4" s="401">
        <v>37750</v>
      </c>
      <c r="C4" s="372"/>
      <c r="D4" s="390">
        <v>23075.51</v>
      </c>
      <c r="E4" s="387">
        <f>D4</f>
        <v>23075.51</v>
      </c>
      <c r="F4" s="387">
        <f t="shared" ref="F4:F40" si="0">D4-D3</f>
        <v>219.65999999999985</v>
      </c>
      <c r="G4" s="388">
        <f t="shared" ref="G4:G40" si="1">(D4/D3)-1</f>
        <v>9.6106686034429512E-3</v>
      </c>
      <c r="H4" s="387">
        <f t="shared" ref="H4:H40" si="2">D4-$D$3</f>
        <v>219.65999999999985</v>
      </c>
      <c r="I4" s="388">
        <f t="shared" ref="I4:I40" si="3">(D4/$D$3)-1</f>
        <v>9.6106686034429512E-3</v>
      </c>
      <c r="K4" s="372"/>
      <c r="L4" s="369">
        <v>933.41</v>
      </c>
      <c r="M4" s="394">
        <f>(L4/L3)-1</f>
        <v>3.5803371752967106E-3</v>
      </c>
      <c r="N4" s="394">
        <f t="shared" ref="N4:N67" si="4">(L4/$L$3)-1</f>
        <v>3.5803371752967106E-3</v>
      </c>
      <c r="O4" s="395" t="str">
        <f t="shared" ref="O4:O67" si="5">IF(G4&gt;M4,"Yes","No")</f>
        <v>Yes</v>
      </c>
      <c r="P4" s="396">
        <f>IF(O4="Yes",1,0)</f>
        <v>1</v>
      </c>
      <c r="Q4" s="394">
        <f>SUM(P4)/COUNT(P4)</f>
        <v>1</v>
      </c>
      <c r="S4" s="369">
        <v>8604.6</v>
      </c>
      <c r="T4" s="394">
        <f>(S4/S3)-1</f>
        <v>2.5539808078596238E-3</v>
      </c>
      <c r="U4" s="394">
        <f t="shared" ref="U4:U35" si="6">(S4/$S$3)-1</f>
        <v>2.5539808078596238E-3</v>
      </c>
      <c r="V4" s="395" t="str">
        <f t="shared" ref="V4:V35" si="7">IF(G4&gt;T4,"Yes","No")</f>
        <v>Yes</v>
      </c>
      <c r="W4" s="396">
        <f>IF(V4="Yes",1,0)</f>
        <v>1</v>
      </c>
      <c r="X4" s="394">
        <f>SUM(W4)/COUNT(W4)</f>
        <v>1</v>
      </c>
      <c r="Z4" s="464">
        <v>1520.15</v>
      </c>
      <c r="AA4" s="465">
        <f>(Z4/Z3)-1</f>
        <v>1.1491270094751371E-2</v>
      </c>
      <c r="AB4" s="465">
        <f>(Z4/$Z$3)-1</f>
        <v>1.1491270094751371E-2</v>
      </c>
    </row>
    <row r="5" spans="1:30" x14ac:dyDescent="0.15">
      <c r="A5" s="384">
        <f t="shared" ref="A5:A68" si="8">A4+1</f>
        <v>3</v>
      </c>
      <c r="B5" s="401">
        <f>B4+7</f>
        <v>37757</v>
      </c>
      <c r="C5" s="372"/>
      <c r="D5" s="390">
        <v>23259.78</v>
      </c>
      <c r="E5" s="387">
        <f t="shared" ref="E5:E40" si="9">D5</f>
        <v>23259.78</v>
      </c>
      <c r="F5" s="387">
        <f t="shared" si="0"/>
        <v>184.27000000000044</v>
      </c>
      <c r="G5" s="388">
        <f t="shared" si="1"/>
        <v>7.98552231348304E-3</v>
      </c>
      <c r="H5" s="387">
        <f t="shared" si="2"/>
        <v>403.93000000000029</v>
      </c>
      <c r="I5" s="388">
        <f t="shared" si="3"/>
        <v>1.7672937125506216E-2</v>
      </c>
      <c r="K5" s="372"/>
      <c r="L5" s="369">
        <v>944.3</v>
      </c>
      <c r="M5" s="394">
        <f t="shared" ref="M5:M41" si="10">(L5/L4)-1</f>
        <v>1.1666898790456459E-2</v>
      </c>
      <c r="N5" s="394">
        <f t="shared" si="4"/>
        <v>1.528900739721295E-2</v>
      </c>
      <c r="O5" s="395" t="str">
        <f t="shared" si="5"/>
        <v>No</v>
      </c>
      <c r="P5" s="396">
        <f>IF(O5="Yes",1,0)</f>
        <v>0</v>
      </c>
      <c r="Q5" s="394">
        <f>SUM($P$4:P5)/COUNT($P$4:P5)</f>
        <v>0.5</v>
      </c>
      <c r="S5" s="369">
        <v>8678.9699999999993</v>
      </c>
      <c r="T5" s="394">
        <f t="shared" ref="T5:T41" si="11">(S5/S4)-1</f>
        <v>8.6430513911162077E-3</v>
      </c>
      <c r="U5" s="394">
        <f t="shared" si="6"/>
        <v>1.1219106386350042E-2</v>
      </c>
      <c r="V5" s="395" t="str">
        <f t="shared" si="7"/>
        <v>No</v>
      </c>
      <c r="W5" s="396">
        <f>IF(V5="Yes",1,0)</f>
        <v>0</v>
      </c>
      <c r="X5" s="394">
        <f>SUM($W$4:W5)/COUNT($W$4:W5)</f>
        <v>0.5</v>
      </c>
      <c r="Z5" s="464">
        <v>1538.53</v>
      </c>
      <c r="AA5" s="465">
        <f t="shared" ref="AA5:AA41" si="12">(Z5/Z4)-1</f>
        <v>1.2090912081044625E-2</v>
      </c>
      <c r="AB5" s="465">
        <f t="shared" ref="AB5:AB41" si="13">(Z5/$Z$3)-1</f>
        <v>2.3721122112211113E-2</v>
      </c>
    </row>
    <row r="6" spans="1:30" x14ac:dyDescent="0.15">
      <c r="A6" s="384">
        <f t="shared" si="8"/>
        <v>4</v>
      </c>
      <c r="B6" s="401">
        <f t="shared" ref="B6:B41" si="14">B5+7</f>
        <v>37764</v>
      </c>
      <c r="C6" s="372"/>
      <c r="D6" s="390">
        <v>22880.42</v>
      </c>
      <c r="E6" s="387">
        <f t="shared" si="9"/>
        <v>22880.42</v>
      </c>
      <c r="F6" s="387">
        <f t="shared" si="0"/>
        <v>-379.36000000000058</v>
      </c>
      <c r="G6" s="388">
        <f t="shared" si="1"/>
        <v>-1.630969854401032E-2</v>
      </c>
      <c r="H6" s="387">
        <f t="shared" si="2"/>
        <v>24.569999999999709</v>
      </c>
      <c r="I6" s="388">
        <f t="shared" si="3"/>
        <v>1.0749983045916789E-3</v>
      </c>
      <c r="K6" s="372"/>
      <c r="L6" s="369">
        <v>921.29</v>
      </c>
      <c r="M6" s="394">
        <f t="shared" si="10"/>
        <v>-2.4367256168590479E-2</v>
      </c>
      <c r="N6" s="394">
        <f t="shared" si="4"/>
        <v>-9.4507999311888025E-3</v>
      </c>
      <c r="O6" s="395" t="str">
        <f t="shared" si="5"/>
        <v>Yes</v>
      </c>
      <c r="P6" s="396">
        <f t="shared" ref="P6:P69" si="15">IF(O6="Yes",1,0)</f>
        <v>1</v>
      </c>
      <c r="Q6" s="394">
        <f>SUM($P$4:P6)/COUNT($P$4:P6)</f>
        <v>0.66666666666666663</v>
      </c>
      <c r="S6" s="369">
        <v>8497.59</v>
      </c>
      <c r="T6" s="394">
        <f t="shared" si="11"/>
        <v>-2.0898793289987116E-2</v>
      </c>
      <c r="U6" s="394">
        <f t="shared" si="6"/>
        <v>-9.9141526889037213E-3</v>
      </c>
      <c r="V6" s="395" t="str">
        <f t="shared" si="7"/>
        <v>Yes</v>
      </c>
      <c r="W6" s="396">
        <f t="shared" ref="W6:W69" si="16">IF(V6="Yes",1,0)</f>
        <v>1</v>
      </c>
      <c r="X6" s="394">
        <f>SUM($W$4:W6)/COUNT($W$4:W6)</f>
        <v>0.66666666666666663</v>
      </c>
      <c r="Z6" s="464">
        <v>1483.2</v>
      </c>
      <c r="AA6" s="465">
        <f t="shared" si="12"/>
        <v>-3.5962899650965441E-2</v>
      </c>
      <c r="AB6" s="465">
        <f t="shared" si="13"/>
        <v>-1.3094857872884114E-2</v>
      </c>
    </row>
    <row r="7" spans="1:30" x14ac:dyDescent="0.15">
      <c r="A7" s="384">
        <f t="shared" si="8"/>
        <v>5</v>
      </c>
      <c r="B7" s="401">
        <f t="shared" si="14"/>
        <v>37771</v>
      </c>
      <c r="C7" s="372"/>
      <c r="D7" s="390">
        <v>24142.6</v>
      </c>
      <c r="E7" s="387">
        <f t="shared" si="9"/>
        <v>24142.6</v>
      </c>
      <c r="F7" s="387">
        <f t="shared" si="0"/>
        <v>1262.1800000000003</v>
      </c>
      <c r="G7" s="388">
        <f t="shared" si="1"/>
        <v>5.5164197160716411E-2</v>
      </c>
      <c r="H7" s="387">
        <f t="shared" si="2"/>
        <v>1286.75</v>
      </c>
      <c r="I7" s="388">
        <f t="shared" si="3"/>
        <v>5.6298496883729898E-2</v>
      </c>
      <c r="K7" s="372"/>
      <c r="L7" s="369">
        <v>963.59</v>
      </c>
      <c r="M7" s="394">
        <f t="shared" si="10"/>
        <v>4.5913881622507757E-2</v>
      </c>
      <c r="N7" s="394">
        <f t="shared" si="4"/>
        <v>3.6029158782040271E-2</v>
      </c>
      <c r="O7" s="395" t="str">
        <f t="shared" si="5"/>
        <v>Yes</v>
      </c>
      <c r="P7" s="396">
        <f t="shared" si="15"/>
        <v>1</v>
      </c>
      <c r="Q7" s="394">
        <f>SUM($P$4:P7)/COUNT($P$4:P7)</f>
        <v>0.75</v>
      </c>
      <c r="S7" s="369">
        <v>8850.26</v>
      </c>
      <c r="T7" s="394">
        <f t="shared" si="11"/>
        <v>4.1502355373700173E-2</v>
      </c>
      <c r="U7" s="394">
        <f t="shared" si="6"/>
        <v>3.1176741996672419E-2</v>
      </c>
      <c r="V7" s="395" t="str">
        <f t="shared" si="7"/>
        <v>Yes</v>
      </c>
      <c r="W7" s="396">
        <f t="shared" si="16"/>
        <v>1</v>
      </c>
      <c r="X7" s="394">
        <f>SUM($W$4:W7)/COUNT($W$4:W7)</f>
        <v>0.75</v>
      </c>
      <c r="Z7" s="464">
        <v>1595.91</v>
      </c>
      <c r="AA7" s="465">
        <f t="shared" si="12"/>
        <v>7.5991100323624661E-2</v>
      </c>
      <c r="AB7" s="465">
        <f t="shared" si="13"/>
        <v>6.1901149792398469E-2</v>
      </c>
    </row>
    <row r="8" spans="1:30" x14ac:dyDescent="0.15">
      <c r="A8" s="384">
        <f t="shared" si="8"/>
        <v>6</v>
      </c>
      <c r="B8" s="401">
        <f t="shared" si="14"/>
        <v>37778</v>
      </c>
      <c r="C8" s="372"/>
      <c r="D8" s="390">
        <v>24843.31</v>
      </c>
      <c r="E8" s="387">
        <f t="shared" si="9"/>
        <v>24843.31</v>
      </c>
      <c r="F8" s="387">
        <f t="shared" si="0"/>
        <v>700.71000000000276</v>
      </c>
      <c r="G8" s="388">
        <f t="shared" si="1"/>
        <v>2.9023800253493937E-2</v>
      </c>
      <c r="H8" s="387">
        <f t="shared" si="2"/>
        <v>1987.4600000000028</v>
      </c>
      <c r="I8" s="388">
        <f t="shared" si="3"/>
        <v>8.6956293465349166E-2</v>
      </c>
      <c r="K8" s="372"/>
      <c r="L8" s="369">
        <v>987.76</v>
      </c>
      <c r="M8" s="394">
        <f t="shared" si="10"/>
        <v>2.5083282308865806E-2</v>
      </c>
      <c r="N8" s="394">
        <f t="shared" si="4"/>
        <v>6.2016170651986835E-2</v>
      </c>
      <c r="O8" s="395" t="str">
        <f t="shared" si="5"/>
        <v>Yes</v>
      </c>
      <c r="P8" s="396">
        <f t="shared" si="15"/>
        <v>1</v>
      </c>
      <c r="Q8" s="394">
        <f>SUM($P$4:P8)/COUNT($P$4:P8)</f>
        <v>0.8</v>
      </c>
      <c r="S8" s="369">
        <v>9062.7900000000009</v>
      </c>
      <c r="T8" s="394">
        <f t="shared" si="11"/>
        <v>2.4013983769968439E-2</v>
      </c>
      <c r="U8" s="394">
        <f t="shared" si="6"/>
        <v>5.5939403542949462E-2</v>
      </c>
      <c r="V8" s="395" t="str">
        <f t="shared" si="7"/>
        <v>Yes</v>
      </c>
      <c r="W8" s="396">
        <f t="shared" si="16"/>
        <v>1</v>
      </c>
      <c r="X8" s="394">
        <f>SUM($W$4:W8)/COUNT($W$4:W8)</f>
        <v>0.8</v>
      </c>
      <c r="Z8" s="464">
        <v>1627.42</v>
      </c>
      <c r="AA8" s="465">
        <f t="shared" si="12"/>
        <v>1.9744221165354015E-2</v>
      </c>
      <c r="AB8" s="465">
        <f t="shared" si="13"/>
        <v>8.2867560949643426E-2</v>
      </c>
    </row>
    <row r="9" spans="1:30" x14ac:dyDescent="0.15">
      <c r="A9" s="384">
        <f t="shared" si="8"/>
        <v>7</v>
      </c>
      <c r="B9" s="401">
        <f t="shared" si="14"/>
        <v>37785</v>
      </c>
      <c r="C9" s="372"/>
      <c r="D9" s="390">
        <v>24777.34</v>
      </c>
      <c r="E9" s="387">
        <f t="shared" si="9"/>
        <v>24777.34</v>
      </c>
      <c r="F9" s="387">
        <f t="shared" si="0"/>
        <v>-65.970000000001164</v>
      </c>
      <c r="G9" s="388">
        <f t="shared" si="1"/>
        <v>-2.6554432561523011E-3</v>
      </c>
      <c r="H9" s="387">
        <f t="shared" si="2"/>
        <v>1921.4900000000016</v>
      </c>
      <c r="I9" s="388">
        <f t="shared" si="3"/>
        <v>8.4069942706134437E-2</v>
      </c>
      <c r="K9" s="372"/>
      <c r="L9" s="369">
        <f>995.16-6.55</f>
        <v>988.61</v>
      </c>
      <c r="M9" s="394">
        <f t="shared" si="10"/>
        <v>8.6053292297716411E-4</v>
      </c>
      <c r="N9" s="394">
        <f t="shared" si="4"/>
        <v>6.2930070531567184E-2</v>
      </c>
      <c r="O9" s="395" t="str">
        <f t="shared" si="5"/>
        <v>No</v>
      </c>
      <c r="P9" s="396">
        <f t="shared" si="15"/>
        <v>0</v>
      </c>
      <c r="Q9" s="394">
        <f>SUM($P$4:P9)/COUNT($P$4:P9)</f>
        <v>0.66666666666666663</v>
      </c>
      <c r="S9" s="369">
        <f>9176.41-59.29</f>
        <v>9117.119999999999</v>
      </c>
      <c r="T9" s="394">
        <f t="shared" si="11"/>
        <v>5.9948426477935968E-3</v>
      </c>
      <c r="U9" s="394">
        <f t="shared" si="6"/>
        <v>6.2269594112794424E-2</v>
      </c>
      <c r="V9" s="395" t="str">
        <f t="shared" si="7"/>
        <v>No</v>
      </c>
      <c r="W9" s="396">
        <f t="shared" si="16"/>
        <v>0</v>
      </c>
      <c r="X9" s="394">
        <f>SUM($W$4:W9)/COUNT($W$4:W9)</f>
        <v>0.66666666666666663</v>
      </c>
      <c r="Z9" s="464">
        <f>1637.82-11.33</f>
        <v>1626.49</v>
      </c>
      <c r="AA9" s="465">
        <f t="shared" si="12"/>
        <v>-5.7145666146418694E-4</v>
      </c>
      <c r="AB9" s="465">
        <f t="shared" si="13"/>
        <v>8.224874906845514E-2</v>
      </c>
    </row>
    <row r="10" spans="1:30" x14ac:dyDescent="0.15">
      <c r="A10" s="384">
        <f t="shared" si="8"/>
        <v>8</v>
      </c>
      <c r="B10" s="401">
        <f t="shared" si="14"/>
        <v>37792</v>
      </c>
      <c r="C10" s="372"/>
      <c r="D10" s="390">
        <v>25072.639999999999</v>
      </c>
      <c r="E10" s="387">
        <f t="shared" si="9"/>
        <v>25072.639999999999</v>
      </c>
      <c r="F10" s="387">
        <f t="shared" si="0"/>
        <v>295.29999999999927</v>
      </c>
      <c r="G10" s="388">
        <f t="shared" si="1"/>
        <v>1.191814779149003E-2</v>
      </c>
      <c r="H10" s="387">
        <f t="shared" si="2"/>
        <v>2216.7900000000009</v>
      </c>
      <c r="I10" s="388">
        <f t="shared" si="3"/>
        <v>9.6990048499618231E-2</v>
      </c>
      <c r="K10" s="372"/>
      <c r="L10" s="369">
        <v>995.69</v>
      </c>
      <c r="M10" s="394">
        <f t="shared" si="10"/>
        <v>7.1615702855525321E-3</v>
      </c>
      <c r="N10" s="394">
        <f t="shared" si="4"/>
        <v>7.054231894030627E-2</v>
      </c>
      <c r="O10" s="395" t="str">
        <f t="shared" si="5"/>
        <v>Yes</v>
      </c>
      <c r="P10" s="396">
        <f t="shared" si="15"/>
        <v>1</v>
      </c>
      <c r="Q10" s="394">
        <f>SUM($P$4:P10)/COUNT($P$4:P10)</f>
        <v>0.7142857142857143</v>
      </c>
      <c r="S10" s="369">
        <v>9200.75</v>
      </c>
      <c r="T10" s="394">
        <f t="shared" si="11"/>
        <v>9.1728528307186696E-3</v>
      </c>
      <c r="U10" s="394">
        <f t="shared" si="6"/>
        <v>7.2013636766138367E-2</v>
      </c>
      <c r="V10" s="395" t="str">
        <f t="shared" si="7"/>
        <v>Yes</v>
      </c>
      <c r="W10" s="396">
        <f t="shared" si="16"/>
        <v>1</v>
      </c>
      <c r="X10" s="394">
        <f>SUM($W$4:W10)/COUNT($W$4:W10)</f>
        <v>0.7142857142857143</v>
      </c>
      <c r="Z10" s="464">
        <v>1644.72</v>
      </c>
      <c r="AA10" s="465">
        <f t="shared" si="12"/>
        <v>1.1208184495447249E-2</v>
      </c>
      <c r="AB10" s="465">
        <f t="shared" si="13"/>
        <v>9.437879271798133E-2</v>
      </c>
    </row>
    <row r="11" spans="1:30" x14ac:dyDescent="0.15">
      <c r="A11" s="384">
        <f t="shared" si="8"/>
        <v>9</v>
      </c>
      <c r="B11" s="401">
        <f t="shared" si="14"/>
        <v>37799</v>
      </c>
      <c r="C11" s="372"/>
      <c r="D11" s="390">
        <v>24857.119999999999</v>
      </c>
      <c r="E11" s="387">
        <f t="shared" si="9"/>
        <v>24857.119999999999</v>
      </c>
      <c r="F11" s="387">
        <f t="shared" si="0"/>
        <v>-215.52000000000044</v>
      </c>
      <c r="G11" s="388">
        <f t="shared" si="1"/>
        <v>-8.5958239738616049E-3</v>
      </c>
      <c r="H11" s="387">
        <f t="shared" si="2"/>
        <v>2001.2700000000004</v>
      </c>
      <c r="I11" s="388">
        <f t="shared" si="3"/>
        <v>8.7560515141637651E-2</v>
      </c>
      <c r="K11" s="372"/>
      <c r="L11" s="369">
        <v>976.22</v>
      </c>
      <c r="M11" s="394">
        <f t="shared" si="10"/>
        <v>-1.9554278942241043E-2</v>
      </c>
      <c r="N11" s="394">
        <f t="shared" si="4"/>
        <v>4.9608635816273949E-2</v>
      </c>
      <c r="O11" s="395" t="str">
        <f t="shared" si="5"/>
        <v>Yes</v>
      </c>
      <c r="P11" s="396">
        <f t="shared" si="15"/>
        <v>1</v>
      </c>
      <c r="Q11" s="394">
        <f>SUM($P$4:P11)/COUNT($P$4:P11)</f>
        <v>0.75</v>
      </c>
      <c r="S11" s="369">
        <v>8989.0499999999993</v>
      </c>
      <c r="T11" s="394">
        <f t="shared" si="11"/>
        <v>-2.3008993832024593E-2</v>
      </c>
      <c r="U11" s="394">
        <f t="shared" si="6"/>
        <v>4.7347681609939851E-2</v>
      </c>
      <c r="V11" s="395" t="str">
        <f t="shared" si="7"/>
        <v>Yes</v>
      </c>
      <c r="W11" s="396">
        <f t="shared" si="16"/>
        <v>1</v>
      </c>
      <c r="X11" s="394">
        <f>SUM($W$4:W11)/COUNT($W$4:W11)</f>
        <v>0.75</v>
      </c>
      <c r="Z11" s="464">
        <v>1625.26</v>
      </c>
      <c r="AA11" s="465">
        <f t="shared" si="12"/>
        <v>-1.1831801157643929E-2</v>
      </c>
      <c r="AB11" s="465">
        <f t="shared" si="13"/>
        <v>8.1430320451399973E-2</v>
      </c>
    </row>
    <row r="12" spans="1:30" x14ac:dyDescent="0.15">
      <c r="A12" s="384">
        <f t="shared" si="8"/>
        <v>10</v>
      </c>
      <c r="B12" s="401">
        <f t="shared" si="14"/>
        <v>37806</v>
      </c>
      <c r="C12" s="372"/>
      <c r="D12" s="390">
        <v>24907.37</v>
      </c>
      <c r="E12" s="387">
        <f t="shared" si="9"/>
        <v>24907.37</v>
      </c>
      <c r="F12" s="387">
        <f t="shared" si="0"/>
        <v>50.25</v>
      </c>
      <c r="G12" s="388">
        <f t="shared" si="1"/>
        <v>2.021553583037683E-3</v>
      </c>
      <c r="H12" s="387">
        <f t="shared" si="2"/>
        <v>2051.5200000000004</v>
      </c>
      <c r="I12" s="388">
        <f t="shared" si="3"/>
        <v>8.9759076997792731E-2</v>
      </c>
      <c r="K12" s="372"/>
      <c r="L12" s="369">
        <v>991.66</v>
      </c>
      <c r="M12" s="394">
        <f t="shared" si="10"/>
        <v>1.5816107025055759E-2</v>
      </c>
      <c r="N12" s="394">
        <f t="shared" si="4"/>
        <v>6.620935833476671E-2</v>
      </c>
      <c r="O12" s="395" t="str">
        <f t="shared" si="5"/>
        <v>No</v>
      </c>
      <c r="P12" s="396">
        <f t="shared" si="15"/>
        <v>0</v>
      </c>
      <c r="Q12" s="394">
        <f>SUM($P$4:P12)/COUNT($P$4:P12)</f>
        <v>0.66666666666666663</v>
      </c>
      <c r="S12" s="369">
        <v>9070.2099999999991</v>
      </c>
      <c r="T12" s="394">
        <f t="shared" si="11"/>
        <v>9.0287627724843222E-3</v>
      </c>
      <c r="U12" s="394">
        <f t="shared" si="6"/>
        <v>5.6803935367507385E-2</v>
      </c>
      <c r="V12" s="395" t="str">
        <f t="shared" si="7"/>
        <v>No</v>
      </c>
      <c r="W12" s="396">
        <f t="shared" si="16"/>
        <v>0</v>
      </c>
      <c r="X12" s="394">
        <f>SUM($W$4:W12)/COUNT($W$4:W12)</f>
        <v>0.66666666666666663</v>
      </c>
      <c r="Z12" s="464">
        <v>1663.46</v>
      </c>
      <c r="AA12" s="465">
        <f t="shared" si="12"/>
        <v>2.3503931678623857E-2</v>
      </c>
      <c r="AB12" s="465">
        <f t="shared" si="13"/>
        <v>0.10684818481848168</v>
      </c>
    </row>
    <row r="13" spans="1:30" x14ac:dyDescent="0.15">
      <c r="A13" s="384">
        <f t="shared" si="8"/>
        <v>11</v>
      </c>
      <c r="B13" s="401">
        <f t="shared" si="14"/>
        <v>37813</v>
      </c>
      <c r="C13" s="372"/>
      <c r="D13" s="390">
        <v>25578.29</v>
      </c>
      <c r="E13" s="387">
        <f t="shared" si="9"/>
        <v>25578.29</v>
      </c>
      <c r="F13" s="387">
        <f t="shared" si="0"/>
        <v>670.92000000000189</v>
      </c>
      <c r="G13" s="388">
        <f t="shared" si="1"/>
        <v>2.6936605510738509E-2</v>
      </c>
      <c r="H13" s="387">
        <f t="shared" si="2"/>
        <v>2722.4400000000023</v>
      </c>
      <c r="I13" s="388">
        <f t="shared" si="3"/>
        <v>0.11911348735662863</v>
      </c>
      <c r="K13" s="372"/>
      <c r="L13" s="369">
        <v>998.14</v>
      </c>
      <c r="M13" s="394">
        <f t="shared" si="10"/>
        <v>6.5344977109089708E-3</v>
      </c>
      <c r="N13" s="394">
        <f t="shared" si="4"/>
        <v>7.3176500946155132E-2</v>
      </c>
      <c r="O13" s="395" t="str">
        <f t="shared" si="5"/>
        <v>Yes</v>
      </c>
      <c r="P13" s="396">
        <f t="shared" si="15"/>
        <v>1</v>
      </c>
      <c r="Q13" s="394">
        <f>SUM($P$4:P13)/COUNT($P$4:P13)</f>
        <v>0.7</v>
      </c>
      <c r="S13" s="369">
        <v>9119.59</v>
      </c>
      <c r="T13" s="394">
        <f t="shared" si="11"/>
        <v>5.4441958896211951E-3</v>
      </c>
      <c r="U13" s="394">
        <f t="shared" si="6"/>
        <v>6.2557383008570833E-2</v>
      </c>
      <c r="V13" s="395" t="str">
        <f t="shared" si="7"/>
        <v>Yes</v>
      </c>
      <c r="W13" s="396">
        <f t="shared" si="16"/>
        <v>1</v>
      </c>
      <c r="X13" s="394">
        <f>SUM($W$4:W13)/COUNT($W$4:W13)</f>
        <v>0.7</v>
      </c>
      <c r="Z13" s="464">
        <v>1733.93</v>
      </c>
      <c r="AA13" s="465">
        <f t="shared" si="12"/>
        <v>4.2363507388214927E-2</v>
      </c>
      <c r="AB13" s="465">
        <f t="shared" si="13"/>
        <v>0.15373815607367192</v>
      </c>
    </row>
    <row r="14" spans="1:30" x14ac:dyDescent="0.15">
      <c r="A14" s="384">
        <f t="shared" si="8"/>
        <v>12</v>
      </c>
      <c r="B14" s="401">
        <f t="shared" si="14"/>
        <v>37820</v>
      </c>
      <c r="C14" s="372"/>
      <c r="D14" s="390">
        <v>25192.44</v>
      </c>
      <c r="E14" s="387">
        <f t="shared" si="9"/>
        <v>25192.44</v>
      </c>
      <c r="F14" s="387">
        <f t="shared" si="0"/>
        <v>-385.85000000000218</v>
      </c>
      <c r="G14" s="388">
        <f t="shared" si="1"/>
        <v>-1.5085058461687728E-2</v>
      </c>
      <c r="H14" s="387">
        <f t="shared" si="2"/>
        <v>2336.59</v>
      </c>
      <c r="I14" s="388">
        <f t="shared" si="3"/>
        <v>0.10223159497459067</v>
      </c>
      <c r="K14" s="372"/>
      <c r="L14" s="369">
        <v>993.32</v>
      </c>
      <c r="M14" s="394">
        <f t="shared" si="10"/>
        <v>-4.8289819063457307E-3</v>
      </c>
      <c r="N14" s="394">
        <f t="shared" si="4"/>
        <v>6.7994151040770667E-2</v>
      </c>
      <c r="O14" s="395" t="str">
        <f t="shared" si="5"/>
        <v>No</v>
      </c>
      <c r="P14" s="396">
        <f t="shared" si="15"/>
        <v>0</v>
      </c>
      <c r="Q14" s="394">
        <f>SUM($P$4:P14)/COUNT($P$4:P14)</f>
        <v>0.63636363636363635</v>
      </c>
      <c r="S14" s="369">
        <v>9188.15</v>
      </c>
      <c r="T14" s="394">
        <f t="shared" si="11"/>
        <v>7.5178818346000043E-3</v>
      </c>
      <c r="U14" s="394">
        <f t="shared" si="6"/>
        <v>7.0545563856510896E-2</v>
      </c>
      <c r="V14" s="395" t="str">
        <f t="shared" si="7"/>
        <v>No</v>
      </c>
      <c r="W14" s="396">
        <f t="shared" si="16"/>
        <v>0</v>
      </c>
      <c r="X14" s="394">
        <f>SUM($W$4:W14)/COUNT($W$4:W14)</f>
        <v>0.63636363636363635</v>
      </c>
      <c r="Z14" s="464">
        <v>1708.5</v>
      </c>
      <c r="AA14" s="465">
        <f t="shared" si="12"/>
        <v>-1.4666105321437417E-2</v>
      </c>
      <c r="AB14" s="465">
        <f t="shared" si="13"/>
        <v>0.13681731076333437</v>
      </c>
    </row>
    <row r="15" spans="1:30" x14ac:dyDescent="0.15">
      <c r="A15" s="384">
        <f t="shared" si="8"/>
        <v>13</v>
      </c>
      <c r="B15" s="401">
        <f t="shared" si="14"/>
        <v>37827</v>
      </c>
      <c r="C15" s="372"/>
      <c r="D15" s="390">
        <v>25421.8</v>
      </c>
      <c r="E15" s="387">
        <f t="shared" si="9"/>
        <v>25421.8</v>
      </c>
      <c r="F15" s="387">
        <f t="shared" si="0"/>
        <v>229.36000000000058</v>
      </c>
      <c r="G15" s="388">
        <f t="shared" si="1"/>
        <v>9.1043185971664276E-3</v>
      </c>
      <c r="H15" s="387">
        <f t="shared" si="2"/>
        <v>2565.9500000000007</v>
      </c>
      <c r="I15" s="388">
        <f t="shared" si="3"/>
        <v>0.11226666258310236</v>
      </c>
      <c r="K15" s="372"/>
      <c r="L15" s="369">
        <v>998.68</v>
      </c>
      <c r="M15" s="394">
        <f t="shared" si="10"/>
        <v>5.3960455845043498E-3</v>
      </c>
      <c r="N15" s="394">
        <f t="shared" si="4"/>
        <v>7.3757096163770797E-2</v>
      </c>
      <c r="O15" s="395" t="str">
        <f t="shared" si="5"/>
        <v>Yes</v>
      </c>
      <c r="P15" s="396">
        <f t="shared" si="15"/>
        <v>1</v>
      </c>
      <c r="Q15" s="394">
        <f>SUM($P$4:P15)/COUNT($P$4:P15)</f>
        <v>0.66666666666666663</v>
      </c>
      <c r="S15" s="369">
        <v>9284.57</v>
      </c>
      <c r="T15" s="394">
        <f t="shared" si="11"/>
        <v>1.0493951448332872E-2</v>
      </c>
      <c r="U15" s="394">
        <f t="shared" si="6"/>
        <v>8.1779817026849333E-2</v>
      </c>
      <c r="V15" s="395" t="str">
        <f t="shared" si="7"/>
        <v>No</v>
      </c>
      <c r="W15" s="396">
        <f t="shared" si="16"/>
        <v>0</v>
      </c>
      <c r="X15" s="394">
        <f>SUM($W$4:W15)/COUNT($W$4:W15)</f>
        <v>0.58333333333333337</v>
      </c>
      <c r="Z15" s="464">
        <v>1730.7</v>
      </c>
      <c r="AA15" s="465">
        <f t="shared" si="12"/>
        <v>1.2993854258121162E-2</v>
      </c>
      <c r="AB15" s="465">
        <f t="shared" si="13"/>
        <v>0.15158894921750243</v>
      </c>
    </row>
    <row r="16" spans="1:30" x14ac:dyDescent="0.15">
      <c r="A16" s="384">
        <f t="shared" si="8"/>
        <v>14</v>
      </c>
      <c r="B16" s="401">
        <f t="shared" si="14"/>
        <v>37834</v>
      </c>
      <c r="C16" s="372"/>
      <c r="D16" s="390">
        <v>25266.57</v>
      </c>
      <c r="E16" s="387">
        <f t="shared" si="9"/>
        <v>25266.57</v>
      </c>
      <c r="F16" s="387">
        <f t="shared" si="0"/>
        <v>-155.22999999999956</v>
      </c>
      <c r="G16" s="388">
        <f t="shared" si="1"/>
        <v>-6.1061765885971342E-3</v>
      </c>
      <c r="H16" s="387">
        <f t="shared" si="2"/>
        <v>2410.7200000000012</v>
      </c>
      <c r="I16" s="388">
        <f t="shared" si="3"/>
        <v>0.10547496592776029</v>
      </c>
      <c r="K16" s="372"/>
      <c r="L16" s="369">
        <v>980.15</v>
      </c>
      <c r="M16" s="394">
        <f t="shared" si="10"/>
        <v>-1.8554491929346661E-2</v>
      </c>
      <c r="N16" s="394">
        <f t="shared" si="4"/>
        <v>5.3834078788921325E-2</v>
      </c>
      <c r="O16" s="395" t="str">
        <f t="shared" si="5"/>
        <v>Yes</v>
      </c>
      <c r="P16" s="396">
        <f t="shared" si="15"/>
        <v>1</v>
      </c>
      <c r="Q16" s="394">
        <f>SUM($P$4:P16)/COUNT($P$4:P16)</f>
        <v>0.69230769230769229</v>
      </c>
      <c r="S16" s="369">
        <v>9153.9699999999993</v>
      </c>
      <c r="T16" s="394">
        <f t="shared" si="11"/>
        <v>-1.4066348791597294E-2</v>
      </c>
      <c r="U16" s="394">
        <f t="shared" si="6"/>
        <v>6.6563124804839502E-2</v>
      </c>
      <c r="V16" s="395" t="str">
        <f t="shared" si="7"/>
        <v>Yes</v>
      </c>
      <c r="W16" s="396">
        <f t="shared" si="16"/>
        <v>1</v>
      </c>
      <c r="X16" s="394">
        <f>SUM($W$4:W16)/COUNT($W$4:W16)</f>
        <v>0.61538461538461542</v>
      </c>
      <c r="Z16" s="464">
        <v>1715.62</v>
      </c>
      <c r="AA16" s="465">
        <f t="shared" si="12"/>
        <v>-8.7132374183856998E-3</v>
      </c>
      <c r="AB16" s="465">
        <f t="shared" si="13"/>
        <v>0.14155488129458083</v>
      </c>
    </row>
    <row r="17" spans="1:28" x14ac:dyDescent="0.15">
      <c r="A17" s="384">
        <f t="shared" si="8"/>
        <v>15</v>
      </c>
      <c r="B17" s="401">
        <f t="shared" si="14"/>
        <v>37841</v>
      </c>
      <c r="C17" s="372"/>
      <c r="D17" s="390">
        <v>25228.34</v>
      </c>
      <c r="E17" s="387">
        <f t="shared" si="9"/>
        <v>25228.34</v>
      </c>
      <c r="F17" s="387">
        <f t="shared" si="0"/>
        <v>-38.229999999999563</v>
      </c>
      <c r="G17" s="388">
        <f t="shared" si="1"/>
        <v>-1.513066474792546E-3</v>
      </c>
      <c r="H17" s="387">
        <f t="shared" si="2"/>
        <v>2372.4900000000016</v>
      </c>
      <c r="I17" s="388">
        <f t="shared" si="3"/>
        <v>0.1038023088180926</v>
      </c>
      <c r="K17" s="372"/>
      <c r="L17" s="369">
        <v>977.59</v>
      </c>
      <c r="M17" s="394">
        <f t="shared" si="10"/>
        <v>-2.6118451257459707E-3</v>
      </c>
      <c r="N17" s="394">
        <f t="shared" si="4"/>
        <v>5.1081627386891482E-2</v>
      </c>
      <c r="O17" s="395" t="str">
        <f t="shared" si="5"/>
        <v>Yes</v>
      </c>
      <c r="P17" s="396">
        <f t="shared" si="15"/>
        <v>1</v>
      </c>
      <c r="Q17" s="394">
        <f>SUM($P$4:P17)/COUNT($P$4:P17)</f>
        <v>0.7142857142857143</v>
      </c>
      <c r="S17" s="369">
        <v>9191.09</v>
      </c>
      <c r="T17" s="394">
        <f t="shared" si="11"/>
        <v>4.0550711876923273E-3</v>
      </c>
      <c r="U17" s="394">
        <f t="shared" si="6"/>
        <v>7.0888114202090735E-2</v>
      </c>
      <c r="V17" s="395" t="str">
        <f t="shared" si="7"/>
        <v>No</v>
      </c>
      <c r="W17" s="396">
        <f t="shared" si="16"/>
        <v>0</v>
      </c>
      <c r="X17" s="394">
        <f>SUM($W$4:W17)/COUNT($W$4:W17)</f>
        <v>0.5714285714285714</v>
      </c>
      <c r="Z17" s="464">
        <v>1644.03</v>
      </c>
      <c r="AA17" s="465">
        <f t="shared" si="12"/>
        <v>-4.1728354763875375E-2</v>
      </c>
      <c r="AB17" s="465">
        <f t="shared" si="13"/>
        <v>9.391967422548686E-2</v>
      </c>
    </row>
    <row r="18" spans="1:28" x14ac:dyDescent="0.15">
      <c r="A18" s="384">
        <f t="shared" si="8"/>
        <v>16</v>
      </c>
      <c r="B18" s="401">
        <f t="shared" si="14"/>
        <v>37848</v>
      </c>
      <c r="C18" s="372"/>
      <c r="D18" s="390">
        <v>24951.71</v>
      </c>
      <c r="E18" s="387">
        <f t="shared" si="9"/>
        <v>24951.71</v>
      </c>
      <c r="F18" s="387">
        <f t="shared" si="0"/>
        <v>-276.63000000000102</v>
      </c>
      <c r="G18" s="388">
        <f t="shared" si="1"/>
        <v>-1.0965049622765566E-2</v>
      </c>
      <c r="H18" s="387">
        <f t="shared" si="2"/>
        <v>2095.8600000000006</v>
      </c>
      <c r="I18" s="388">
        <f t="shared" si="3"/>
        <v>9.1699061728178988E-2</v>
      </c>
      <c r="K18" s="372"/>
      <c r="L18" s="369">
        <v>990.67</v>
      </c>
      <c r="M18" s="394">
        <f t="shared" si="10"/>
        <v>1.3379842265162312E-2</v>
      </c>
      <c r="N18" s="394">
        <f t="shared" si="4"/>
        <v>6.5144933769138103E-2</v>
      </c>
      <c r="O18" s="395" t="str">
        <f t="shared" si="5"/>
        <v>No</v>
      </c>
      <c r="P18" s="396">
        <f t="shared" si="15"/>
        <v>0</v>
      </c>
      <c r="Q18" s="394">
        <f>SUM($P$4:P18)/COUNT($P$4:P18)</f>
        <v>0.66666666666666663</v>
      </c>
      <c r="S18" s="369">
        <v>9321.69</v>
      </c>
      <c r="T18" s="394">
        <f t="shared" si="11"/>
        <v>1.4209413682163996E-2</v>
      </c>
      <c r="U18" s="394">
        <f t="shared" si="6"/>
        <v>8.6104806424100566E-2</v>
      </c>
      <c r="V18" s="395" t="str">
        <f t="shared" si="7"/>
        <v>No</v>
      </c>
      <c r="W18" s="396">
        <f t="shared" si="16"/>
        <v>0</v>
      </c>
      <c r="X18" s="394">
        <f>SUM($W$4:W18)/COUNT($W$4:W18)</f>
        <v>0.53333333333333333</v>
      </c>
      <c r="Z18" s="464">
        <v>1702.01</v>
      </c>
      <c r="AA18" s="465">
        <f t="shared" si="12"/>
        <v>3.5266996344349044E-2</v>
      </c>
      <c r="AB18" s="465">
        <f t="shared" si="13"/>
        <v>0.13249893537740864</v>
      </c>
    </row>
    <row r="19" spans="1:28" x14ac:dyDescent="0.15">
      <c r="A19" s="384">
        <f t="shared" si="8"/>
        <v>17</v>
      </c>
      <c r="B19" s="401">
        <f t="shared" si="14"/>
        <v>37855</v>
      </c>
      <c r="C19" s="372"/>
      <c r="D19" s="390">
        <v>25454.04</v>
      </c>
      <c r="E19" s="387">
        <f t="shared" si="9"/>
        <v>25454.04</v>
      </c>
      <c r="F19" s="387">
        <f t="shared" si="0"/>
        <v>502.33000000000175</v>
      </c>
      <c r="G19" s="388">
        <f t="shared" si="1"/>
        <v>2.0132087139518751E-2</v>
      </c>
      <c r="H19" s="387">
        <f t="shared" si="2"/>
        <v>2598.1900000000023</v>
      </c>
      <c r="I19" s="388">
        <f t="shared" si="3"/>
        <v>0.11367724236902155</v>
      </c>
      <c r="K19" s="372"/>
      <c r="L19" s="369">
        <v>993.06</v>
      </c>
      <c r="M19" s="394">
        <f t="shared" si="10"/>
        <v>2.4125087062289996E-3</v>
      </c>
      <c r="N19" s="394">
        <f t="shared" si="4"/>
        <v>6.7714605195251965E-2</v>
      </c>
      <c r="O19" s="395" t="str">
        <f t="shared" si="5"/>
        <v>Yes</v>
      </c>
      <c r="P19" s="396">
        <f t="shared" si="15"/>
        <v>1</v>
      </c>
      <c r="Q19" s="394">
        <f>SUM($P$4:P19)/COUNT($P$4:P19)</f>
        <v>0.6875</v>
      </c>
      <c r="S19" s="369">
        <v>9348.8700000000008</v>
      </c>
      <c r="T19" s="394">
        <f t="shared" si="11"/>
        <v>2.9157802930583898E-3</v>
      </c>
      <c r="U19" s="394">
        <f t="shared" si="6"/>
        <v>8.9271649414868204E-2</v>
      </c>
      <c r="V19" s="395" t="str">
        <f t="shared" si="7"/>
        <v>Yes</v>
      </c>
      <c r="W19" s="396">
        <f t="shared" si="16"/>
        <v>1</v>
      </c>
      <c r="X19" s="394">
        <f>SUM($W$4:W19)/COUNT($W$4:W19)</f>
        <v>0.5625</v>
      </c>
      <c r="Z19" s="464">
        <v>1765.32</v>
      </c>
      <c r="AA19" s="465">
        <f t="shared" si="12"/>
        <v>3.7197196256191223E-2</v>
      </c>
      <c r="AB19" s="465">
        <f t="shared" si="13"/>
        <v>0.17462472053656963</v>
      </c>
    </row>
    <row r="20" spans="1:28" x14ac:dyDescent="0.15">
      <c r="A20" s="384">
        <f t="shared" si="8"/>
        <v>18</v>
      </c>
      <c r="B20" s="401">
        <f t="shared" si="14"/>
        <v>37862</v>
      </c>
      <c r="C20" s="372"/>
      <c r="D20" s="390">
        <v>26198.38</v>
      </c>
      <c r="E20" s="387">
        <f t="shared" si="9"/>
        <v>26198.38</v>
      </c>
      <c r="F20" s="387">
        <f t="shared" si="0"/>
        <v>744.34000000000015</v>
      </c>
      <c r="G20" s="388">
        <f t="shared" si="1"/>
        <v>2.9242509244112203E-2</v>
      </c>
      <c r="H20" s="387">
        <f t="shared" si="2"/>
        <v>3342.5300000000025</v>
      </c>
      <c r="I20" s="388">
        <f t="shared" si="3"/>
        <v>0.14624395942395507</v>
      </c>
      <c r="K20" s="372"/>
      <c r="L20" s="369">
        <v>1008.01</v>
      </c>
      <c r="M20" s="394">
        <f t="shared" si="10"/>
        <v>1.5054478077860312E-2</v>
      </c>
      <c r="N20" s="394">
        <f t="shared" si="4"/>
        <v>8.3788491312575264E-2</v>
      </c>
      <c r="O20" s="395" t="str">
        <f t="shared" si="5"/>
        <v>Yes</v>
      </c>
      <c r="P20" s="396">
        <f t="shared" si="15"/>
        <v>1</v>
      </c>
      <c r="Q20" s="394">
        <f>SUM($P$4:P20)/COUNT($P$4:P20)</f>
        <v>0.70588235294117652</v>
      </c>
      <c r="S20" s="369">
        <v>9415.82</v>
      </c>
      <c r="T20" s="394">
        <f t="shared" si="11"/>
        <v>7.1612932899911552E-3</v>
      </c>
      <c r="U20" s="394">
        <f t="shared" si="6"/>
        <v>9.7072243168800254E-2</v>
      </c>
      <c r="V20" s="395" t="str">
        <f t="shared" si="7"/>
        <v>Yes</v>
      </c>
      <c r="W20" s="396">
        <f t="shared" si="16"/>
        <v>1</v>
      </c>
      <c r="X20" s="394">
        <f>SUM($W$4:W20)/COUNT($W$4:W20)</f>
        <v>0.58823529411764708</v>
      </c>
      <c r="Z20" s="464">
        <v>1810.45</v>
      </c>
      <c r="AA20" s="465">
        <f t="shared" si="12"/>
        <v>2.5564770126662584E-2</v>
      </c>
      <c r="AB20" s="465">
        <f t="shared" si="13"/>
        <v>0.20465373150218236</v>
      </c>
    </row>
    <row r="21" spans="1:28" x14ac:dyDescent="0.15">
      <c r="A21" s="384">
        <f t="shared" si="8"/>
        <v>19</v>
      </c>
      <c r="B21" s="401">
        <f t="shared" si="14"/>
        <v>37869</v>
      </c>
      <c r="C21" s="372"/>
      <c r="D21" s="390">
        <v>26545.65</v>
      </c>
      <c r="E21" s="387">
        <f t="shared" si="9"/>
        <v>26545.65</v>
      </c>
      <c r="F21" s="387">
        <f t="shared" si="0"/>
        <v>347.27000000000044</v>
      </c>
      <c r="G21" s="388">
        <f t="shared" si="1"/>
        <v>1.3255399761359365E-2</v>
      </c>
      <c r="H21" s="387">
        <f t="shared" si="2"/>
        <v>3689.8000000000029</v>
      </c>
      <c r="I21" s="388">
        <f t="shared" si="3"/>
        <v>0.1614378813301629</v>
      </c>
      <c r="K21" s="372"/>
      <c r="L21" s="369">
        <v>1021.39</v>
      </c>
      <c r="M21" s="394">
        <f t="shared" si="10"/>
        <v>1.32736778404976E-2</v>
      </c>
      <c r="N21" s="394">
        <f t="shared" si="4"/>
        <v>9.8174350593497328E-2</v>
      </c>
      <c r="O21" s="395" t="str">
        <f t="shared" si="5"/>
        <v>No</v>
      </c>
      <c r="P21" s="396">
        <f t="shared" si="15"/>
        <v>0</v>
      </c>
      <c r="Q21" s="394">
        <f>SUM($P$4:P21)/COUNT($P$4:P21)</f>
        <v>0.66666666666666663</v>
      </c>
      <c r="S21" s="369">
        <v>9503.34</v>
      </c>
      <c r="T21" s="394">
        <f t="shared" si="11"/>
        <v>9.2949950190213126E-3</v>
      </c>
      <c r="U21" s="394">
        <f t="shared" si="6"/>
        <v>0.10726952420456071</v>
      </c>
      <c r="V21" s="395" t="str">
        <f t="shared" si="7"/>
        <v>Yes</v>
      </c>
      <c r="W21" s="396">
        <f t="shared" si="16"/>
        <v>1</v>
      </c>
      <c r="X21" s="394">
        <f>SUM($W$4:W21)/COUNT($W$4:W21)</f>
        <v>0.61111111111111116</v>
      </c>
      <c r="Z21" s="464">
        <v>1858.24</v>
      </c>
      <c r="AA21" s="465">
        <f t="shared" si="12"/>
        <v>2.6396752188682315E-2</v>
      </c>
      <c r="AB21" s="465">
        <f t="shared" si="13"/>
        <v>0.23645267752581711</v>
      </c>
    </row>
    <row r="22" spans="1:28" x14ac:dyDescent="0.15">
      <c r="A22" s="384">
        <f t="shared" si="8"/>
        <v>20</v>
      </c>
      <c r="B22" s="401">
        <f t="shared" si="14"/>
        <v>37876</v>
      </c>
      <c r="C22" s="372"/>
      <c r="D22" s="390">
        <v>26641.77</v>
      </c>
      <c r="E22" s="387">
        <f t="shared" si="9"/>
        <v>26641.77</v>
      </c>
      <c r="F22" s="387">
        <f t="shared" si="0"/>
        <v>96.119999999998981</v>
      </c>
      <c r="G22" s="388">
        <f t="shared" si="1"/>
        <v>3.6209322431357549E-3</v>
      </c>
      <c r="H22" s="387">
        <f t="shared" si="2"/>
        <v>3785.9200000000019</v>
      </c>
      <c r="I22" s="388">
        <f t="shared" si="3"/>
        <v>0.16564336920307055</v>
      </c>
      <c r="K22" s="372"/>
      <c r="L22" s="369">
        <v>1018.63</v>
      </c>
      <c r="M22" s="394">
        <f t="shared" si="10"/>
        <v>-2.7021999432146337E-3</v>
      </c>
      <c r="N22" s="394">
        <f t="shared" si="4"/>
        <v>9.5206863925683782E-2</v>
      </c>
      <c r="O22" s="395" t="str">
        <f t="shared" si="5"/>
        <v>Yes</v>
      </c>
      <c r="P22" s="396">
        <f t="shared" si="15"/>
        <v>1</v>
      </c>
      <c r="Q22" s="394">
        <f>SUM($P$4:P22)/COUNT($P$4:P22)</f>
        <v>0.68421052631578949</v>
      </c>
      <c r="S22" s="369">
        <v>9471.5499999999993</v>
      </c>
      <c r="T22" s="394">
        <f t="shared" si="11"/>
        <v>-3.3451397087761459E-3</v>
      </c>
      <c r="U22" s="394">
        <f t="shared" si="6"/>
        <v>0.10356555295082637</v>
      </c>
      <c r="V22" s="395" t="str">
        <f t="shared" si="7"/>
        <v>Yes</v>
      </c>
      <c r="W22" s="396">
        <f t="shared" si="16"/>
        <v>1</v>
      </c>
      <c r="X22" s="394">
        <f>SUM($W$4:W22)/COUNT($W$4:W22)</f>
        <v>0.63157894736842102</v>
      </c>
      <c r="Z22" s="464">
        <v>1855.03</v>
      </c>
      <c r="AA22" s="465">
        <f t="shared" si="12"/>
        <v>-1.7274410194593193E-3</v>
      </c>
      <c r="AB22" s="465">
        <f t="shared" si="13"/>
        <v>0.23431677845203858</v>
      </c>
    </row>
    <row r="23" spans="1:28" x14ac:dyDescent="0.15">
      <c r="A23" s="384">
        <f t="shared" si="8"/>
        <v>21</v>
      </c>
      <c r="B23" s="401">
        <f t="shared" si="14"/>
        <v>37883</v>
      </c>
      <c r="C23" s="372"/>
      <c r="D23" s="390">
        <v>27191.65</v>
      </c>
      <c r="E23" s="387">
        <f t="shared" si="9"/>
        <v>27191.65</v>
      </c>
      <c r="F23" s="387">
        <f t="shared" si="0"/>
        <v>549.88000000000102</v>
      </c>
      <c r="G23" s="388">
        <f t="shared" si="1"/>
        <v>2.0639769805084418E-2</v>
      </c>
      <c r="H23" s="387">
        <f t="shared" si="2"/>
        <v>4335.8000000000029</v>
      </c>
      <c r="I23" s="388">
        <f t="shared" si="3"/>
        <v>0.1897019800182449</v>
      </c>
      <c r="K23" s="372"/>
      <c r="L23" s="369">
        <v>1036.3</v>
      </c>
      <c r="M23" s="394">
        <f t="shared" si="10"/>
        <v>1.734682858348946E-2</v>
      </c>
      <c r="N23" s="394">
        <f t="shared" si="4"/>
        <v>0.11420522965766366</v>
      </c>
      <c r="O23" s="395" t="str">
        <f t="shared" si="5"/>
        <v>Yes</v>
      </c>
      <c r="P23" s="396">
        <f t="shared" si="15"/>
        <v>1</v>
      </c>
      <c r="Q23" s="394">
        <f>SUM($P$4:P23)/COUNT($P$4:P23)</f>
        <v>0.7</v>
      </c>
      <c r="S23" s="369">
        <v>9644.82</v>
      </c>
      <c r="T23" s="394">
        <f t="shared" si="11"/>
        <v>1.8293732282467001E-2</v>
      </c>
      <c r="U23" s="394">
        <f t="shared" si="6"/>
        <v>0.12375388573266144</v>
      </c>
      <c r="V23" s="395" t="str">
        <f t="shared" si="7"/>
        <v>Yes</v>
      </c>
      <c r="W23" s="396">
        <f t="shared" si="16"/>
        <v>1</v>
      </c>
      <c r="X23" s="394">
        <f>SUM($W$4:W23)/COUNT($W$4:W23)</f>
        <v>0.65</v>
      </c>
      <c r="Z23" s="464">
        <v>1905.7</v>
      </c>
      <c r="AA23" s="465">
        <f t="shared" si="12"/>
        <v>2.7314922130639463E-2</v>
      </c>
      <c r="AB23" s="465">
        <f t="shared" si="13"/>
        <v>0.26803204513999779</v>
      </c>
    </row>
    <row r="24" spans="1:28" x14ac:dyDescent="0.15">
      <c r="A24" s="384">
        <f t="shared" si="8"/>
        <v>22</v>
      </c>
      <c r="B24" s="401">
        <f t="shared" si="14"/>
        <v>37890</v>
      </c>
      <c r="C24" s="372"/>
      <c r="D24" s="390">
        <v>26055.43</v>
      </c>
      <c r="E24" s="387">
        <f t="shared" si="9"/>
        <v>26055.43</v>
      </c>
      <c r="F24" s="387">
        <f t="shared" si="0"/>
        <v>-1136.2200000000012</v>
      </c>
      <c r="G24" s="388">
        <f t="shared" si="1"/>
        <v>-4.1785621689011232E-2</v>
      </c>
      <c r="H24" s="387">
        <f t="shared" si="2"/>
        <v>3199.5800000000017</v>
      </c>
      <c r="I24" s="388">
        <f t="shared" si="3"/>
        <v>0.13998954315853496</v>
      </c>
      <c r="K24" s="372"/>
      <c r="L24" s="369">
        <v>996.85</v>
      </c>
      <c r="M24" s="394">
        <f t="shared" si="10"/>
        <v>-3.8068126990253748E-2</v>
      </c>
      <c r="N24" s="394">
        <f t="shared" si="4"/>
        <v>7.1789523481851081E-2</v>
      </c>
      <c r="O24" s="395" t="str">
        <f t="shared" si="5"/>
        <v>No</v>
      </c>
      <c r="P24" s="396">
        <f t="shared" si="15"/>
        <v>0</v>
      </c>
      <c r="Q24" s="394">
        <f>SUM($P$4:P24)/COUNT($P$4:P24)</f>
        <v>0.66666666666666663</v>
      </c>
      <c r="S24" s="369">
        <v>9313.08</v>
      </c>
      <c r="T24" s="394">
        <f t="shared" si="11"/>
        <v>-3.4395665237920481E-2</v>
      </c>
      <c r="U24" s="394">
        <f t="shared" si="6"/>
        <v>8.5101623269188575E-2</v>
      </c>
      <c r="V24" s="395" t="str">
        <f t="shared" si="7"/>
        <v>No</v>
      </c>
      <c r="W24" s="396">
        <f t="shared" si="16"/>
        <v>0</v>
      </c>
      <c r="X24" s="394">
        <f>SUM($W$4:W24)/COUNT($W$4:W24)</f>
        <v>0.61904761904761907</v>
      </c>
      <c r="Z24" s="464">
        <v>1792.07</v>
      </c>
      <c r="AA24" s="465">
        <f t="shared" si="12"/>
        <v>-5.9626384005877164E-2</v>
      </c>
      <c r="AB24" s="465">
        <f t="shared" si="13"/>
        <v>0.19242387948472262</v>
      </c>
    </row>
    <row r="25" spans="1:28" x14ac:dyDescent="0.15">
      <c r="A25" s="384">
        <f t="shared" si="8"/>
        <v>23</v>
      </c>
      <c r="B25" s="401">
        <f t="shared" si="14"/>
        <v>37897</v>
      </c>
      <c r="C25" s="372"/>
      <c r="D25" s="390">
        <v>26951.66</v>
      </c>
      <c r="E25" s="387">
        <f t="shared" si="9"/>
        <v>26951.66</v>
      </c>
      <c r="F25" s="387">
        <f t="shared" si="0"/>
        <v>896.22999999999956</v>
      </c>
      <c r="G25" s="388">
        <f t="shared" si="1"/>
        <v>3.4397052744859602E-2</v>
      </c>
      <c r="H25" s="387">
        <f t="shared" si="2"/>
        <v>4095.8100000000013</v>
      </c>
      <c r="I25" s="388">
        <f t="shared" si="3"/>
        <v>0.17920182360314763</v>
      </c>
      <c r="K25" s="372"/>
      <c r="L25" s="369">
        <v>1029.8499999999999</v>
      </c>
      <c r="M25" s="394">
        <f t="shared" si="10"/>
        <v>3.3104278477203097E-2</v>
      </c>
      <c r="N25" s="394">
        <f t="shared" si="4"/>
        <v>0.10727034233614297</v>
      </c>
      <c r="O25" s="395" t="str">
        <f t="shared" si="5"/>
        <v>Yes</v>
      </c>
      <c r="P25" s="396">
        <f t="shared" si="15"/>
        <v>1</v>
      </c>
      <c r="Q25" s="394">
        <f>SUM($P$4:P25)/COUNT($P$4:P25)</f>
        <v>0.68181818181818177</v>
      </c>
      <c r="S25" s="369">
        <v>9572.31</v>
      </c>
      <c r="T25" s="394">
        <f t="shared" si="11"/>
        <v>2.783504490458566E-2</v>
      </c>
      <c r="U25" s="394">
        <f t="shared" si="6"/>
        <v>0.11530547567892535</v>
      </c>
      <c r="V25" s="395" t="str">
        <f t="shared" si="7"/>
        <v>Yes</v>
      </c>
      <c r="W25" s="396">
        <f t="shared" si="16"/>
        <v>1</v>
      </c>
      <c r="X25" s="394">
        <f>SUM($W$4:W25)/COUNT($W$4:W25)</f>
        <v>0.63636363636363635</v>
      </c>
      <c r="Z25" s="464">
        <v>1880.57</v>
      </c>
      <c r="AA25" s="465">
        <f t="shared" si="12"/>
        <v>4.9384231642737086E-2</v>
      </c>
      <c r="AB25" s="465">
        <f t="shared" si="13"/>
        <v>0.25131081656552734</v>
      </c>
    </row>
    <row r="26" spans="1:28" x14ac:dyDescent="0.15">
      <c r="A26" s="384">
        <f t="shared" si="8"/>
        <v>24</v>
      </c>
      <c r="B26" s="401">
        <f t="shared" si="14"/>
        <v>37904</v>
      </c>
      <c r="C26" s="372"/>
      <c r="D26" s="390">
        <v>27655.39</v>
      </c>
      <c r="E26" s="387">
        <f t="shared" si="9"/>
        <v>27655.39</v>
      </c>
      <c r="F26" s="387">
        <f t="shared" si="0"/>
        <v>703.72999999999956</v>
      </c>
      <c r="G26" s="388">
        <f t="shared" si="1"/>
        <v>2.6110822116337085E-2</v>
      </c>
      <c r="H26" s="387">
        <f t="shared" si="2"/>
        <v>4799.5400000000009</v>
      </c>
      <c r="I26" s="388">
        <f t="shared" si="3"/>
        <v>0.20999175265850978</v>
      </c>
      <c r="K26" s="372"/>
      <c r="L26" s="369">
        <v>1038.06</v>
      </c>
      <c r="M26" s="394">
        <f t="shared" si="10"/>
        <v>7.9720347623439825E-3</v>
      </c>
      <c r="N26" s="394">
        <f t="shared" si="4"/>
        <v>0.11609753999655936</v>
      </c>
      <c r="O26" s="395" t="str">
        <f t="shared" si="5"/>
        <v>Yes</v>
      </c>
      <c r="P26" s="396">
        <f t="shared" si="15"/>
        <v>1</v>
      </c>
      <c r="Q26" s="394">
        <f>SUM($P$4:P26)/COUNT($P$4:P26)</f>
        <v>0.69565217391304346</v>
      </c>
      <c r="S26" s="369">
        <v>9674.68</v>
      </c>
      <c r="T26" s="394">
        <f t="shared" si="11"/>
        <v>1.0694388292899148E-2</v>
      </c>
      <c r="U26" s="394">
        <f t="shared" si="6"/>
        <v>0.12723298550103235</v>
      </c>
      <c r="V26" s="395" t="str">
        <f t="shared" si="7"/>
        <v>Yes</v>
      </c>
      <c r="W26" s="396">
        <f t="shared" si="16"/>
        <v>1</v>
      </c>
      <c r="X26" s="394">
        <f>SUM($W$4:W26)/COUNT($W$4:W26)</f>
        <v>0.65217391304347827</v>
      </c>
      <c r="Z26" s="464">
        <v>1915.31</v>
      </c>
      <c r="AA26" s="465">
        <f t="shared" si="12"/>
        <v>1.847312251072819E-2</v>
      </c>
      <c r="AB26" s="465">
        <f t="shared" si="13"/>
        <v>0.27442643457894156</v>
      </c>
    </row>
    <row r="27" spans="1:28" x14ac:dyDescent="0.15">
      <c r="A27" s="384">
        <f t="shared" si="8"/>
        <v>25</v>
      </c>
      <c r="B27" s="401">
        <f t="shared" si="14"/>
        <v>37911</v>
      </c>
      <c r="C27" s="372"/>
      <c r="D27" s="390">
        <v>27644.99</v>
      </c>
      <c r="E27" s="387">
        <f t="shared" si="9"/>
        <v>27644.99</v>
      </c>
      <c r="F27" s="387">
        <f t="shared" si="0"/>
        <v>-10.399999999997817</v>
      </c>
      <c r="G27" s="388">
        <f t="shared" si="1"/>
        <v>-3.7605689162212297E-4</v>
      </c>
      <c r="H27" s="387">
        <f t="shared" si="2"/>
        <v>4789.1400000000031</v>
      </c>
      <c r="I27" s="388">
        <f t="shared" si="3"/>
        <v>0.20953672692111658</v>
      </c>
      <c r="K27" s="372"/>
      <c r="L27" s="369">
        <v>1039.32</v>
      </c>
      <c r="M27" s="394">
        <f t="shared" si="10"/>
        <v>1.21380267036586E-3</v>
      </c>
      <c r="N27" s="394">
        <f t="shared" si="4"/>
        <v>0.11745226217099591</v>
      </c>
      <c r="O27" s="395" t="str">
        <f t="shared" si="5"/>
        <v>No</v>
      </c>
      <c r="P27" s="396">
        <f t="shared" si="15"/>
        <v>0</v>
      </c>
      <c r="Q27" s="394">
        <f>SUM($P$4:P27)/COUNT($P$4:P27)</f>
        <v>0.66666666666666663</v>
      </c>
      <c r="S27" s="369">
        <v>9721.7900000000009</v>
      </c>
      <c r="T27" s="394">
        <f t="shared" si="11"/>
        <v>4.8694117014722593E-3</v>
      </c>
      <c r="U27" s="394">
        <f t="shared" si="6"/>
        <v>0.13272194699091666</v>
      </c>
      <c r="V27" s="395" t="str">
        <f t="shared" si="7"/>
        <v>No</v>
      </c>
      <c r="W27" s="396">
        <f t="shared" si="16"/>
        <v>0</v>
      </c>
      <c r="X27" s="394">
        <f>SUM($W$4:W27)/COUNT($W$4:W27)</f>
        <v>0.625</v>
      </c>
      <c r="Z27" s="464">
        <v>1912.36</v>
      </c>
      <c r="AA27" s="465">
        <f t="shared" si="12"/>
        <v>-1.5402206431335275E-3</v>
      </c>
      <c r="AB27" s="465">
        <f t="shared" si="13"/>
        <v>0.27246353667624801</v>
      </c>
    </row>
    <row r="28" spans="1:28" x14ac:dyDescent="0.15">
      <c r="A28" s="384">
        <f t="shared" si="8"/>
        <v>26</v>
      </c>
      <c r="B28" s="401">
        <f t="shared" si="14"/>
        <v>37918</v>
      </c>
      <c r="C28" s="372"/>
      <c r="D28" s="390">
        <v>27301.82</v>
      </c>
      <c r="E28" s="387">
        <f t="shared" si="9"/>
        <v>27301.82</v>
      </c>
      <c r="F28" s="387">
        <f t="shared" si="0"/>
        <v>-343.17000000000189</v>
      </c>
      <c r="G28" s="388">
        <f t="shared" si="1"/>
        <v>-1.2413460811525057E-2</v>
      </c>
      <c r="H28" s="387">
        <f t="shared" si="2"/>
        <v>4445.9700000000012</v>
      </c>
      <c r="I28" s="388">
        <f t="shared" si="3"/>
        <v>0.19452219016138117</v>
      </c>
      <c r="K28" s="372"/>
      <c r="L28" s="369">
        <v>1028.9100000000001</v>
      </c>
      <c r="M28" s="394">
        <f t="shared" si="10"/>
        <v>-1.0016164415194373E-2</v>
      </c>
      <c r="N28" s="394">
        <f t="shared" si="4"/>
        <v>0.10625967658696034</v>
      </c>
      <c r="O28" s="395" t="str">
        <f t="shared" si="5"/>
        <v>No</v>
      </c>
      <c r="P28" s="396">
        <f t="shared" si="15"/>
        <v>0</v>
      </c>
      <c r="Q28" s="394">
        <f>SUM($P$4:P28)/COUNT($P$4:P28)</f>
        <v>0.64</v>
      </c>
      <c r="S28" s="369">
        <v>9582.4599999999991</v>
      </c>
      <c r="T28" s="394">
        <f t="shared" si="11"/>
        <v>-1.4331722861736562E-2</v>
      </c>
      <c r="U28" s="394">
        <f t="shared" si="6"/>
        <v>0.11648808996723625</v>
      </c>
      <c r="V28" s="395" t="str">
        <f t="shared" si="7"/>
        <v>Yes</v>
      </c>
      <c r="W28" s="396">
        <f t="shared" si="16"/>
        <v>1</v>
      </c>
      <c r="X28" s="394">
        <f>SUM($W$4:W28)/COUNT($W$4:W28)</f>
        <v>0.64</v>
      </c>
      <c r="Z28" s="464">
        <v>1865.59</v>
      </c>
      <c r="AA28" s="465">
        <f t="shared" si="12"/>
        <v>-2.4456692254596457E-2</v>
      </c>
      <c r="AB28" s="465">
        <f t="shared" si="13"/>
        <v>0.2413432875545618</v>
      </c>
    </row>
    <row r="29" spans="1:28" x14ac:dyDescent="0.15">
      <c r="A29" s="384">
        <f t="shared" si="8"/>
        <v>27</v>
      </c>
      <c r="B29" s="401">
        <f t="shared" si="14"/>
        <v>37925</v>
      </c>
      <c r="C29" s="372"/>
      <c r="D29" s="390">
        <v>28220.43</v>
      </c>
      <c r="E29" s="387">
        <f t="shared" si="9"/>
        <v>28220.43</v>
      </c>
      <c r="F29" s="387">
        <f t="shared" si="0"/>
        <v>918.61000000000058</v>
      </c>
      <c r="G29" s="388">
        <f t="shared" si="1"/>
        <v>3.3646474850394625E-2</v>
      </c>
      <c r="H29" s="387">
        <f t="shared" si="2"/>
        <v>5364.5800000000017</v>
      </c>
      <c r="I29" s="388">
        <f t="shared" si="3"/>
        <v>0.23471365099088426</v>
      </c>
      <c r="K29" s="372"/>
      <c r="L29" s="369">
        <v>1050.71</v>
      </c>
      <c r="M29" s="394">
        <f t="shared" si="10"/>
        <v>2.1187470235491945E-2</v>
      </c>
      <c r="N29" s="394">
        <f t="shared" si="4"/>
        <v>0.1296985205573713</v>
      </c>
      <c r="O29" s="395" t="str">
        <f t="shared" si="5"/>
        <v>Yes</v>
      </c>
      <c r="P29" s="396">
        <f t="shared" si="15"/>
        <v>1</v>
      </c>
      <c r="Q29" s="394">
        <f>SUM($P$4:P29)/COUNT($P$4:P29)</f>
        <v>0.65384615384615385</v>
      </c>
      <c r="S29" s="369">
        <v>9801.1200000000008</v>
      </c>
      <c r="T29" s="394">
        <f t="shared" si="11"/>
        <v>2.2818775137073644E-2</v>
      </c>
      <c r="U29" s="394">
        <f t="shared" si="6"/>
        <v>0.14196498063541929</v>
      </c>
      <c r="V29" s="395" t="str">
        <f t="shared" si="7"/>
        <v>Yes</v>
      </c>
      <c r="W29" s="396">
        <f t="shared" si="16"/>
        <v>1</v>
      </c>
      <c r="X29" s="394">
        <f>SUM($W$4:W29)/COUNT($W$4:W29)</f>
        <v>0.65384615384615385</v>
      </c>
      <c r="Z29" s="464">
        <v>1932.21</v>
      </c>
      <c r="AA29" s="465">
        <f t="shared" si="12"/>
        <v>3.5709882664465509E-2</v>
      </c>
      <c r="AB29" s="465">
        <f t="shared" si="13"/>
        <v>0.28567151069945695</v>
      </c>
    </row>
    <row r="30" spans="1:28" x14ac:dyDescent="0.15">
      <c r="A30" s="384">
        <f t="shared" si="8"/>
        <v>28</v>
      </c>
      <c r="B30" s="401">
        <f t="shared" si="14"/>
        <v>37932</v>
      </c>
      <c r="C30" s="372"/>
      <c r="D30" s="390">
        <v>28922.01</v>
      </c>
      <c r="E30" s="387">
        <f t="shared" si="9"/>
        <v>28922.01</v>
      </c>
      <c r="F30" s="387">
        <f t="shared" si="0"/>
        <v>701.57999999999811</v>
      </c>
      <c r="G30" s="388">
        <f t="shared" si="1"/>
        <v>2.486071261139533E-2</v>
      </c>
      <c r="H30" s="387">
        <f t="shared" si="2"/>
        <v>6066.16</v>
      </c>
      <c r="I30" s="388">
        <f t="shared" si="3"/>
        <v>0.26540951222553533</v>
      </c>
      <c r="K30" s="372"/>
      <c r="L30" s="369">
        <v>1053.21</v>
      </c>
      <c r="M30" s="394">
        <f t="shared" si="10"/>
        <v>2.3793434915437839E-3</v>
      </c>
      <c r="N30" s="394">
        <f t="shared" si="4"/>
        <v>0.13238646137966636</v>
      </c>
      <c r="O30" s="395" t="str">
        <f t="shared" si="5"/>
        <v>Yes</v>
      </c>
      <c r="P30" s="396">
        <f t="shared" si="15"/>
        <v>1</v>
      </c>
      <c r="Q30" s="394">
        <f>SUM($P$4:P30)/COUNT($P$4:P30)</f>
        <v>0.66666666666666663</v>
      </c>
      <c r="S30" s="369">
        <v>9809.7900000000009</v>
      </c>
      <c r="T30" s="394">
        <f t="shared" si="11"/>
        <v>8.8459278123309559E-4</v>
      </c>
      <c r="U30" s="394">
        <f t="shared" si="6"/>
        <v>0.14297515461371058</v>
      </c>
      <c r="V30" s="395" t="str">
        <f t="shared" si="7"/>
        <v>Yes</v>
      </c>
      <c r="W30" s="396">
        <f t="shared" si="16"/>
        <v>1</v>
      </c>
      <c r="X30" s="394">
        <f>SUM($W$4:W30)/COUNT($W$4:W30)</f>
        <v>0.66666666666666663</v>
      </c>
      <c r="Z30" s="464">
        <v>1970.74</v>
      </c>
      <c r="AA30" s="465">
        <f t="shared" si="12"/>
        <v>1.9940896693423582E-2</v>
      </c>
      <c r="AB30" s="465">
        <f t="shared" si="13"/>
        <v>0.31130895347599274</v>
      </c>
    </row>
    <row r="31" spans="1:28" x14ac:dyDescent="0.15">
      <c r="A31" s="384">
        <f t="shared" si="8"/>
        <v>29</v>
      </c>
      <c r="B31" s="401">
        <f t="shared" si="14"/>
        <v>37939</v>
      </c>
      <c r="C31" s="372"/>
      <c r="D31" s="390">
        <v>28960.81</v>
      </c>
      <c r="E31" s="387">
        <f t="shared" si="9"/>
        <v>28960.81</v>
      </c>
      <c r="F31" s="387">
        <f t="shared" si="0"/>
        <v>38.80000000000291</v>
      </c>
      <c r="G31" s="388">
        <f t="shared" si="1"/>
        <v>1.3415388487869606E-3</v>
      </c>
      <c r="H31" s="387">
        <f t="shared" si="2"/>
        <v>6104.9600000000028</v>
      </c>
      <c r="I31" s="388">
        <f t="shared" si="3"/>
        <v>0.2671071082458103</v>
      </c>
      <c r="K31" s="372"/>
      <c r="L31" s="369">
        <v>1050.3499999999999</v>
      </c>
      <c r="M31" s="394">
        <f t="shared" si="10"/>
        <v>-2.7155078284484269E-3</v>
      </c>
      <c r="N31" s="394">
        <f t="shared" si="4"/>
        <v>0.12931145707896086</v>
      </c>
      <c r="O31" s="395" t="str">
        <f t="shared" si="5"/>
        <v>Yes</v>
      </c>
      <c r="P31" s="396">
        <f t="shared" si="15"/>
        <v>1</v>
      </c>
      <c r="Q31" s="394">
        <f>SUM($P$4:P31)/COUNT($P$4:P31)</f>
        <v>0.6785714285714286</v>
      </c>
      <c r="S31" s="369">
        <v>9768.68</v>
      </c>
      <c r="T31" s="394">
        <f t="shared" si="11"/>
        <v>-4.1907115238960513E-3</v>
      </c>
      <c r="U31" s="394">
        <f t="shared" si="6"/>
        <v>0.13818527546174386</v>
      </c>
      <c r="V31" s="395" t="str">
        <f t="shared" si="7"/>
        <v>Yes</v>
      </c>
      <c r="W31" s="396">
        <f t="shared" si="16"/>
        <v>1</v>
      </c>
      <c r="X31" s="394">
        <f>SUM($W$4:W31)/COUNT($W$4:W31)</f>
        <v>0.6785714285714286</v>
      </c>
      <c r="Z31" s="464">
        <v>1930.26</v>
      </c>
      <c r="AA31" s="465">
        <f t="shared" si="12"/>
        <v>-2.0540507626576776E-2</v>
      </c>
      <c r="AB31" s="465">
        <f t="shared" si="13"/>
        <v>0.28437400191632056</v>
      </c>
    </row>
    <row r="32" spans="1:28" x14ac:dyDescent="0.15">
      <c r="A32" s="384">
        <f t="shared" si="8"/>
        <v>30</v>
      </c>
      <c r="B32" s="401">
        <f t="shared" si="14"/>
        <v>37946</v>
      </c>
      <c r="C32" s="372"/>
      <c r="D32" s="390">
        <v>28176.87</v>
      </c>
      <c r="E32" s="387">
        <f t="shared" si="9"/>
        <v>28176.87</v>
      </c>
      <c r="F32" s="387">
        <f t="shared" si="0"/>
        <v>-783.94000000000233</v>
      </c>
      <c r="G32" s="388">
        <f t="shared" si="1"/>
        <v>-2.7068994271914448E-2</v>
      </c>
      <c r="H32" s="387">
        <f t="shared" si="2"/>
        <v>5321.02</v>
      </c>
      <c r="I32" s="388">
        <f t="shared" si="3"/>
        <v>0.23280779319080236</v>
      </c>
      <c r="K32" s="372"/>
      <c r="L32" s="369">
        <v>1035.28</v>
      </c>
      <c r="M32" s="394">
        <f t="shared" si="10"/>
        <v>-1.4347598419574337E-2</v>
      </c>
      <c r="N32" s="394">
        <f t="shared" si="4"/>
        <v>0.11310854980216756</v>
      </c>
      <c r="O32" s="395" t="str">
        <f t="shared" si="5"/>
        <v>No</v>
      </c>
      <c r="P32" s="396">
        <f t="shared" si="15"/>
        <v>0</v>
      </c>
      <c r="Q32" s="394">
        <f>SUM($P$4:P32)/COUNT($P$4:P32)</f>
        <v>0.65517241379310343</v>
      </c>
      <c r="S32" s="369">
        <v>9628.5300000000007</v>
      </c>
      <c r="T32" s="394">
        <f t="shared" si="11"/>
        <v>-1.4346871839388653E-2</v>
      </c>
      <c r="U32" s="394">
        <f t="shared" si="6"/>
        <v>0.12185587718521496</v>
      </c>
      <c r="V32" s="395" t="str">
        <f t="shared" si="7"/>
        <v>No</v>
      </c>
      <c r="W32" s="396">
        <f t="shared" si="16"/>
        <v>0</v>
      </c>
      <c r="X32" s="394">
        <f>SUM($W$4:W32)/COUNT($W$4:W32)</f>
        <v>0.65517241379310343</v>
      </c>
      <c r="Z32" s="464">
        <v>1893.88</v>
      </c>
      <c r="AA32" s="465">
        <f t="shared" si="12"/>
        <v>-1.8847201931345925E-2</v>
      </c>
      <c r="AB32" s="465">
        <f t="shared" si="13"/>
        <v>0.26016714574683264</v>
      </c>
    </row>
    <row r="33" spans="1:28" x14ac:dyDescent="0.15">
      <c r="A33" s="384">
        <f t="shared" si="8"/>
        <v>31</v>
      </c>
      <c r="B33" s="401">
        <f t="shared" si="14"/>
        <v>37953</v>
      </c>
      <c r="C33" s="372"/>
      <c r="D33" s="390">
        <v>29004.98</v>
      </c>
      <c r="E33" s="387">
        <f t="shared" si="9"/>
        <v>29004.98</v>
      </c>
      <c r="F33" s="387">
        <f t="shared" si="0"/>
        <v>828.11000000000058</v>
      </c>
      <c r="G33" s="388">
        <f t="shared" si="1"/>
        <v>2.9389708651102797E-2</v>
      </c>
      <c r="H33" s="387">
        <f t="shared" si="2"/>
        <v>6149.130000000001</v>
      </c>
      <c r="I33" s="388">
        <f t="shared" si="3"/>
        <v>0.26903965505548921</v>
      </c>
      <c r="K33" s="372"/>
      <c r="L33" s="369">
        <v>1058.2</v>
      </c>
      <c r="M33" s="394">
        <f t="shared" si="10"/>
        <v>2.2138938258249086E-2</v>
      </c>
      <c r="N33" s="394">
        <f t="shared" si="4"/>
        <v>0.13775159126096681</v>
      </c>
      <c r="O33" s="395" t="str">
        <f t="shared" si="5"/>
        <v>Yes</v>
      </c>
      <c r="P33" s="396">
        <f t="shared" si="15"/>
        <v>1</v>
      </c>
      <c r="Q33" s="394">
        <f>SUM($P$4:P33)/COUNT($P$4:P33)</f>
        <v>0.66666666666666663</v>
      </c>
      <c r="S33" s="369">
        <v>9782.4599999999991</v>
      </c>
      <c r="T33" s="394">
        <f t="shared" si="11"/>
        <v>1.5986864038435522E-2</v>
      </c>
      <c r="U33" s="394">
        <f t="shared" si="6"/>
        <v>0.13979083456449493</v>
      </c>
      <c r="V33" s="395" t="str">
        <f t="shared" si="7"/>
        <v>Yes</v>
      </c>
      <c r="W33" s="396">
        <f t="shared" si="16"/>
        <v>1</v>
      </c>
      <c r="X33" s="394">
        <f>SUM($W$4:W33)/COUNT($W$4:W33)</f>
        <v>0.66666666666666663</v>
      </c>
      <c r="Z33" s="464">
        <v>1960.26</v>
      </c>
      <c r="AA33" s="465">
        <f t="shared" si="12"/>
        <v>3.5049739159819904E-2</v>
      </c>
      <c r="AB33" s="465">
        <f t="shared" si="13"/>
        <v>0.30433567550303398</v>
      </c>
    </row>
    <row r="34" spans="1:28" x14ac:dyDescent="0.15">
      <c r="A34" s="384">
        <f t="shared" si="8"/>
        <v>32</v>
      </c>
      <c r="B34" s="401">
        <f t="shared" si="14"/>
        <v>37960</v>
      </c>
      <c r="C34" s="372"/>
      <c r="D34" s="390">
        <v>28449.7</v>
      </c>
      <c r="E34" s="387">
        <f t="shared" si="9"/>
        <v>28449.7</v>
      </c>
      <c r="F34" s="387">
        <f t="shared" si="0"/>
        <v>-555.27999999999884</v>
      </c>
      <c r="G34" s="388">
        <f t="shared" si="1"/>
        <v>-1.9144298668711368E-2</v>
      </c>
      <c r="H34" s="387">
        <f t="shared" si="2"/>
        <v>5593.8500000000022</v>
      </c>
      <c r="I34" s="388">
        <f t="shared" si="3"/>
        <v>0.24474478087666851</v>
      </c>
      <c r="K34" s="372"/>
      <c r="L34" s="369">
        <v>1061.5</v>
      </c>
      <c r="M34" s="394">
        <f t="shared" si="10"/>
        <v>3.1185031185030354E-3</v>
      </c>
      <c r="N34" s="394">
        <f t="shared" si="4"/>
        <v>0.14129967314639602</v>
      </c>
      <c r="O34" s="395" t="str">
        <f t="shared" si="5"/>
        <v>No</v>
      </c>
      <c r="P34" s="396">
        <f t="shared" si="15"/>
        <v>0</v>
      </c>
      <c r="Q34" s="394">
        <f>SUM($P$4:P34)/COUNT($P$4:P34)</f>
        <v>0.64516129032258063</v>
      </c>
      <c r="S34" s="369">
        <v>9862.68</v>
      </c>
      <c r="T34" s="394">
        <f t="shared" si="11"/>
        <v>8.200391312614741E-3</v>
      </c>
      <c r="U34" s="394">
        <f t="shared" si="6"/>
        <v>0.14913756542245538</v>
      </c>
      <c r="V34" s="395" t="str">
        <f t="shared" si="7"/>
        <v>No</v>
      </c>
      <c r="W34" s="396">
        <f t="shared" si="16"/>
        <v>0</v>
      </c>
      <c r="X34" s="394">
        <f>SUM($W$4:W34)/COUNT($W$4:W34)</f>
        <v>0.64516129032258063</v>
      </c>
      <c r="Z34" s="464">
        <v>1937.82</v>
      </c>
      <c r="AA34" s="465">
        <f t="shared" si="12"/>
        <v>-1.1447461051085073E-2</v>
      </c>
      <c r="AB34" s="465">
        <f t="shared" si="13"/>
        <v>0.28940434366017231</v>
      </c>
    </row>
    <row r="35" spans="1:28" x14ac:dyDescent="0.15">
      <c r="A35" s="384">
        <f t="shared" si="8"/>
        <v>33</v>
      </c>
      <c r="B35" s="401">
        <f t="shared" si="14"/>
        <v>37967</v>
      </c>
      <c r="C35" s="372"/>
      <c r="D35" s="390">
        <v>28924.74</v>
      </c>
      <c r="E35" s="387">
        <f t="shared" si="9"/>
        <v>28924.74</v>
      </c>
      <c r="F35" s="387">
        <f t="shared" si="0"/>
        <v>475.04000000000087</v>
      </c>
      <c r="G35" s="388">
        <f t="shared" si="1"/>
        <v>1.6697539868610223E-2</v>
      </c>
      <c r="H35" s="387">
        <f t="shared" si="2"/>
        <v>6068.8900000000031</v>
      </c>
      <c r="I35" s="388">
        <f t="shared" si="3"/>
        <v>0.26552895648160124</v>
      </c>
      <c r="K35" s="372"/>
      <c r="L35" s="369">
        <v>1074.1400000000001</v>
      </c>
      <c r="M35" s="394">
        <f t="shared" si="10"/>
        <v>1.1907677814413598E-2</v>
      </c>
      <c r="N35" s="394">
        <f t="shared" si="4"/>
        <v>0.15488990194391894</v>
      </c>
      <c r="O35" s="395" t="str">
        <f t="shared" si="5"/>
        <v>Yes</v>
      </c>
      <c r="P35" s="396">
        <f t="shared" si="15"/>
        <v>1</v>
      </c>
      <c r="Q35" s="394">
        <f>SUM($P$4:P35)/COUNT($P$4:P35)</f>
        <v>0.65625</v>
      </c>
      <c r="S35" s="369">
        <v>10042.16</v>
      </c>
      <c r="T35" s="394">
        <f t="shared" si="11"/>
        <v>1.8197893473173465E-2</v>
      </c>
      <c r="U35" s="394">
        <f t="shared" si="6"/>
        <v>0.17004944842403535</v>
      </c>
      <c r="V35" s="395" t="str">
        <f t="shared" si="7"/>
        <v>No</v>
      </c>
      <c r="W35" s="396">
        <f t="shared" si="16"/>
        <v>0</v>
      </c>
      <c r="X35" s="394">
        <f>SUM($W$4:W35)/COUNT($W$4:W35)</f>
        <v>0.625</v>
      </c>
      <c r="Z35" s="464">
        <v>1949</v>
      </c>
      <c r="AA35" s="465">
        <f t="shared" si="12"/>
        <v>5.7693697041005798E-3</v>
      </c>
      <c r="AB35" s="465">
        <f t="shared" si="13"/>
        <v>0.29684339401682092</v>
      </c>
    </row>
    <row r="36" spans="1:28" x14ac:dyDescent="0.15">
      <c r="A36" s="384">
        <f t="shared" si="8"/>
        <v>34</v>
      </c>
      <c r="B36" s="401">
        <f t="shared" si="14"/>
        <v>37974</v>
      </c>
      <c r="C36" s="372"/>
      <c r="D36" s="390">
        <v>29328</v>
      </c>
      <c r="E36" s="387">
        <f t="shared" si="9"/>
        <v>29328</v>
      </c>
      <c r="F36" s="387">
        <f t="shared" si="0"/>
        <v>403.2599999999984</v>
      </c>
      <c r="G36" s="388">
        <f t="shared" si="1"/>
        <v>1.39416983523446E-2</v>
      </c>
      <c r="H36" s="387">
        <f t="shared" si="2"/>
        <v>6472.1500000000015</v>
      </c>
      <c r="I36" s="388">
        <f t="shared" si="3"/>
        <v>0.28317257944902519</v>
      </c>
      <c r="K36" s="372"/>
      <c r="L36" s="369">
        <v>1088.6600000000001</v>
      </c>
      <c r="M36" s="394">
        <f t="shared" si="10"/>
        <v>1.3517790976967703E-2</v>
      </c>
      <c r="N36" s="394">
        <f t="shared" si="4"/>
        <v>0.17050146223980733</v>
      </c>
      <c r="O36" s="395" t="str">
        <f t="shared" si="5"/>
        <v>Yes</v>
      </c>
      <c r="P36" s="396">
        <f t="shared" si="15"/>
        <v>1</v>
      </c>
      <c r="Q36" s="394">
        <f>SUM($P$4:P36)/COUNT($P$4:P36)</f>
        <v>0.66666666666666663</v>
      </c>
      <c r="S36" s="369">
        <v>10278.219999999999</v>
      </c>
      <c r="T36" s="394">
        <f t="shared" si="11"/>
        <v>2.3506894930970912E-2</v>
      </c>
      <c r="U36" s="394">
        <f t="shared" ref="U36:U67" si="17">(S36/$S$3)-1</f>
        <v>0.19755367787217959</v>
      </c>
      <c r="V36" s="395" t="str">
        <f t="shared" ref="V36:V67" si="18">IF(G36&gt;T36,"Yes","No")</f>
        <v>No</v>
      </c>
      <c r="W36" s="396">
        <f t="shared" si="16"/>
        <v>0</v>
      </c>
      <c r="X36" s="394">
        <f>SUM($W$4:W36)/COUNT($W$4:W36)</f>
        <v>0.60606060606060608</v>
      </c>
      <c r="Z36" s="464">
        <v>1957.02</v>
      </c>
      <c r="AA36" s="465">
        <f t="shared" si="12"/>
        <v>4.1149307337096097E-3</v>
      </c>
      <c r="AB36" s="465">
        <f t="shared" si="13"/>
        <v>0.30217981475566891</v>
      </c>
    </row>
    <row r="37" spans="1:28" x14ac:dyDescent="0.15">
      <c r="A37" s="384">
        <f t="shared" si="8"/>
        <v>35</v>
      </c>
      <c r="B37" s="401">
        <f t="shared" si="14"/>
        <v>37981</v>
      </c>
      <c r="C37" s="372"/>
      <c r="D37" s="390">
        <v>29690.49</v>
      </c>
      <c r="E37" s="387">
        <f t="shared" si="9"/>
        <v>29690.49</v>
      </c>
      <c r="F37" s="387">
        <f t="shared" si="0"/>
        <v>362.4900000000016</v>
      </c>
      <c r="G37" s="388">
        <f t="shared" si="1"/>
        <v>1.2359860883797147E-2</v>
      </c>
      <c r="H37" s="387">
        <f t="shared" si="2"/>
        <v>6834.6400000000031</v>
      </c>
      <c r="I37" s="388">
        <f t="shared" si="3"/>
        <v>0.29903241402091818</v>
      </c>
      <c r="K37" s="372"/>
      <c r="L37" s="369">
        <v>1095.8900000000001</v>
      </c>
      <c r="M37" s="394">
        <f t="shared" si="10"/>
        <v>6.6411919240167983E-3</v>
      </c>
      <c r="N37" s="394">
        <f t="shared" si="4"/>
        <v>0.17827498709788414</v>
      </c>
      <c r="O37" s="395" t="str">
        <f t="shared" si="5"/>
        <v>Yes</v>
      </c>
      <c r="P37" s="396">
        <f t="shared" si="15"/>
        <v>1</v>
      </c>
      <c r="Q37" s="394">
        <f>SUM($P$4:P37)/COUNT($P$4:P37)</f>
        <v>0.67647058823529416</v>
      </c>
      <c r="S37" s="369">
        <v>10324.67</v>
      </c>
      <c r="T37" s="394">
        <f t="shared" si="11"/>
        <v>4.5192650089218578E-3</v>
      </c>
      <c r="U37" s="394">
        <f t="shared" si="17"/>
        <v>0.20296574030489301</v>
      </c>
      <c r="V37" s="395" t="str">
        <f t="shared" si="18"/>
        <v>Yes</v>
      </c>
      <c r="W37" s="396">
        <f t="shared" si="16"/>
        <v>1</v>
      </c>
      <c r="X37" s="394">
        <f>SUM($W$4:W37)/COUNT($W$4:W37)</f>
        <v>0.61764705882352944</v>
      </c>
      <c r="Z37" s="464">
        <v>1973.14</v>
      </c>
      <c r="AA37" s="465">
        <f t="shared" si="12"/>
        <v>8.2370134183606947E-3</v>
      </c>
      <c r="AB37" s="465">
        <f t="shared" si="13"/>
        <v>0.31290588736292979</v>
      </c>
    </row>
    <row r="38" spans="1:28" x14ac:dyDescent="0.15">
      <c r="A38" s="384">
        <f t="shared" si="8"/>
        <v>36</v>
      </c>
      <c r="B38" s="401">
        <f t="shared" si="14"/>
        <v>37988</v>
      </c>
      <c r="C38" s="372"/>
      <c r="D38" s="390">
        <v>30649.47</v>
      </c>
      <c r="E38" s="387">
        <f t="shared" si="9"/>
        <v>30649.47</v>
      </c>
      <c r="F38" s="387">
        <f t="shared" si="0"/>
        <v>958.97999999999956</v>
      </c>
      <c r="G38" s="388">
        <f t="shared" si="1"/>
        <v>3.2299231167959741E-2</v>
      </c>
      <c r="H38" s="387">
        <f t="shared" si="2"/>
        <v>7793.6200000000026</v>
      </c>
      <c r="I38" s="388">
        <f t="shared" si="3"/>
        <v>0.34099016225605272</v>
      </c>
      <c r="J38" s="375">
        <v>0</v>
      </c>
      <c r="K38" s="372"/>
      <c r="L38" s="369">
        <v>1108.48</v>
      </c>
      <c r="M38" s="394">
        <f t="shared" si="10"/>
        <v>1.1488379308142171E-2</v>
      </c>
      <c r="N38" s="394">
        <f t="shared" si="4"/>
        <v>0.19181145707896086</v>
      </c>
      <c r="O38" s="395" t="str">
        <f t="shared" si="5"/>
        <v>Yes</v>
      </c>
      <c r="P38" s="396">
        <f t="shared" si="15"/>
        <v>1</v>
      </c>
      <c r="Q38" s="394">
        <f>SUM($P$4:P38)/COUNT($P$4:P38)</f>
        <v>0.68571428571428572</v>
      </c>
      <c r="R38" s="375">
        <v>0</v>
      </c>
      <c r="S38" s="369">
        <v>10409.85</v>
      </c>
      <c r="T38" s="394">
        <f t="shared" si="11"/>
        <v>8.2501426195704664E-3</v>
      </c>
      <c r="U38" s="394">
        <f t="shared" si="17"/>
        <v>0.21289037922886567</v>
      </c>
      <c r="V38" s="395" t="str">
        <f t="shared" si="18"/>
        <v>Yes</v>
      </c>
      <c r="W38" s="396">
        <f t="shared" si="16"/>
        <v>1</v>
      </c>
      <c r="X38" s="394">
        <f>SUM($W$4:W38)/COUNT($W$4:W38)</f>
        <v>0.62857142857142856</v>
      </c>
      <c r="Z38" s="464">
        <v>2006.68</v>
      </c>
      <c r="AA38" s="465">
        <f t="shared" si="12"/>
        <v>1.6998286994333922E-2</v>
      </c>
      <c r="AB38" s="465">
        <f t="shared" si="13"/>
        <v>0.3352230384328756</v>
      </c>
    </row>
    <row r="39" spans="1:28" x14ac:dyDescent="0.15">
      <c r="A39" s="384">
        <f t="shared" si="8"/>
        <v>37</v>
      </c>
      <c r="B39" s="401">
        <f t="shared" si="14"/>
        <v>37995</v>
      </c>
      <c r="C39" s="372"/>
      <c r="D39" s="390">
        <v>30712.11</v>
      </c>
      <c r="E39" s="387">
        <f t="shared" si="9"/>
        <v>30712.11</v>
      </c>
      <c r="F39" s="387">
        <f t="shared" si="0"/>
        <v>62.639999999999418</v>
      </c>
      <c r="G39" s="388">
        <f t="shared" si="1"/>
        <v>2.0437547533447287E-3</v>
      </c>
      <c r="H39" s="387">
        <f t="shared" si="2"/>
        <v>7856.260000000002</v>
      </c>
      <c r="I39" s="388">
        <f t="shared" si="3"/>
        <v>0.34373081727435228</v>
      </c>
      <c r="J39" s="375">
        <f t="shared" ref="J39:J83" si="19">(E39/$E$38)-1</f>
        <v>2.0437547533447287E-3</v>
      </c>
      <c r="K39" s="372"/>
      <c r="L39" s="369">
        <v>1121.8599999999999</v>
      </c>
      <c r="M39" s="394">
        <f t="shared" si="10"/>
        <v>1.2070583140877389E-2</v>
      </c>
      <c r="N39" s="394">
        <f t="shared" si="4"/>
        <v>0.20619731635988292</v>
      </c>
      <c r="O39" s="395" t="str">
        <f t="shared" si="5"/>
        <v>No</v>
      </c>
      <c r="P39" s="396">
        <f t="shared" si="15"/>
        <v>0</v>
      </c>
      <c r="Q39" s="394">
        <f>SUM($P$4:P39)/COUNT($P$4:P39)</f>
        <v>0.66666666666666663</v>
      </c>
      <c r="R39" s="375">
        <f t="shared" ref="R39:R86" si="20">(L39/$L$38)-1</f>
        <v>1.2070583140877389E-2</v>
      </c>
      <c r="S39" s="369">
        <v>10458.89</v>
      </c>
      <c r="T39" s="394">
        <f t="shared" si="11"/>
        <v>4.7109228278985338E-3</v>
      </c>
      <c r="U39" s="394">
        <f t="shared" si="17"/>
        <v>0.21860421220411319</v>
      </c>
      <c r="V39" s="395" t="str">
        <f t="shared" si="18"/>
        <v>No</v>
      </c>
      <c r="W39" s="396">
        <f t="shared" si="16"/>
        <v>0</v>
      </c>
      <c r="X39" s="394">
        <f>SUM($W$4:W39)/COUNT($W$4:W39)</f>
        <v>0.61111111111111116</v>
      </c>
      <c r="Z39" s="464">
        <v>2086.92</v>
      </c>
      <c r="AA39" s="465">
        <f t="shared" si="12"/>
        <v>3.998644527278894E-2</v>
      </c>
      <c r="AB39" s="465">
        <f t="shared" si="13"/>
        <v>0.38861386138613851</v>
      </c>
    </row>
    <row r="40" spans="1:28" x14ac:dyDescent="0.15">
      <c r="A40" s="384">
        <f t="shared" si="8"/>
        <v>38</v>
      </c>
      <c r="B40" s="401">
        <f t="shared" si="14"/>
        <v>38002</v>
      </c>
      <c r="C40" s="372"/>
      <c r="D40" s="390">
        <v>30500.54</v>
      </c>
      <c r="E40" s="387">
        <f t="shared" si="9"/>
        <v>30500.54</v>
      </c>
      <c r="F40" s="387">
        <f t="shared" si="0"/>
        <v>-211.56999999999971</v>
      </c>
      <c r="G40" s="388">
        <f t="shared" si="1"/>
        <v>-6.8888135657236838E-3</v>
      </c>
      <c r="H40" s="387">
        <f t="shared" si="2"/>
        <v>7644.6900000000023</v>
      </c>
      <c r="I40" s="388">
        <f t="shared" si="3"/>
        <v>0.33447410619163165</v>
      </c>
      <c r="J40" s="375">
        <f t="shared" si="19"/>
        <v>-4.8591378578487499E-3</v>
      </c>
      <c r="K40" s="372"/>
      <c r="L40" s="369">
        <v>1139.83</v>
      </c>
      <c r="M40" s="394">
        <f t="shared" si="10"/>
        <v>1.6018041466849819E-2</v>
      </c>
      <c r="N40" s="394">
        <f t="shared" si="4"/>
        <v>0.22551823499053825</v>
      </c>
      <c r="O40" s="395" t="str">
        <f t="shared" si="5"/>
        <v>No</v>
      </c>
      <c r="P40" s="396">
        <f t="shared" si="15"/>
        <v>0</v>
      </c>
      <c r="Q40" s="394">
        <f>SUM($P$4:P40)/COUNT($P$4:P40)</f>
        <v>0.64864864864864868</v>
      </c>
      <c r="R40" s="375">
        <f t="shared" si="20"/>
        <v>2.8281971709006815E-2</v>
      </c>
      <c r="S40" s="369">
        <v>10600.51</v>
      </c>
      <c r="T40" s="394">
        <f t="shared" si="11"/>
        <v>1.3540633853114548E-2</v>
      </c>
      <c r="U40" s="394">
        <f t="shared" si="17"/>
        <v>0.23510488565343235</v>
      </c>
      <c r="V40" s="395" t="str">
        <f t="shared" si="18"/>
        <v>No</v>
      </c>
      <c r="W40" s="396">
        <f t="shared" si="16"/>
        <v>0</v>
      </c>
      <c r="X40" s="394">
        <f>SUM($W$4:W40)/COUNT($W$4:W40)</f>
        <v>0.59459459459459463</v>
      </c>
      <c r="Z40" s="464">
        <v>2140.46</v>
      </c>
      <c r="AA40" s="465">
        <f t="shared" si="12"/>
        <v>2.5655032296398428E-2</v>
      </c>
      <c r="AB40" s="465">
        <f t="shared" si="13"/>
        <v>0.4242387948472266</v>
      </c>
    </row>
    <row r="41" spans="1:28" x14ac:dyDescent="0.15">
      <c r="A41" s="384">
        <f t="shared" si="8"/>
        <v>39</v>
      </c>
      <c r="B41" s="401">
        <f t="shared" si="14"/>
        <v>38009</v>
      </c>
      <c r="C41" s="372"/>
      <c r="D41" s="390">
        <v>30340.26</v>
      </c>
      <c r="E41" s="387">
        <f>D41+Holdings_Old!$E$32</f>
        <v>30340.26</v>
      </c>
      <c r="F41" s="387">
        <f>E41-D40</f>
        <v>-160.28000000000247</v>
      </c>
      <c r="G41" s="388">
        <f t="shared" ref="G41:G72" si="21">(E41/E40)-1</f>
        <v>-5.2549889280649742E-3</v>
      </c>
      <c r="H41" s="387">
        <f t="shared" ref="H41:H104" si="22">E41-$D$3</f>
        <v>7484.41</v>
      </c>
      <c r="I41" s="388">
        <f t="shared" ref="I41:I104" si="23">(E41/$D$3)-1</f>
        <v>0.32746145953880523</v>
      </c>
      <c r="J41" s="375">
        <f t="shared" si="19"/>
        <v>-1.0088592070270797E-2</v>
      </c>
      <c r="K41" s="372"/>
      <c r="L41" s="369">
        <v>1141.55</v>
      </c>
      <c r="M41" s="394">
        <f t="shared" si="10"/>
        <v>1.5089969556862926E-3</v>
      </c>
      <c r="N41" s="394">
        <f t="shared" si="4"/>
        <v>0.2273675382762772</v>
      </c>
      <c r="O41" s="395" t="str">
        <f t="shared" si="5"/>
        <v>No</v>
      </c>
      <c r="P41" s="396">
        <f t="shared" si="15"/>
        <v>0</v>
      </c>
      <c r="Q41" s="394">
        <f>SUM($P$4:P41)/COUNT($P$4:P41)</f>
        <v>0.63157894736842102</v>
      </c>
      <c r="R41" s="375">
        <f t="shared" si="20"/>
        <v>2.9833646073903042E-2</v>
      </c>
      <c r="S41" s="369">
        <v>10568.29</v>
      </c>
      <c r="T41" s="394">
        <f t="shared" si="11"/>
        <v>-3.0394764025504228E-3</v>
      </c>
      <c r="U41" s="394">
        <f t="shared" si="17"/>
        <v>0.23135081349881403</v>
      </c>
      <c r="V41" s="395" t="str">
        <f t="shared" si="18"/>
        <v>No</v>
      </c>
      <c r="W41" s="396">
        <f t="shared" si="16"/>
        <v>0</v>
      </c>
      <c r="X41" s="394">
        <f>SUM($W$4:W41)/COUNT($W$4:W41)</f>
        <v>0.57894736842105265</v>
      </c>
      <c r="Z41" s="464">
        <v>2123.87</v>
      </c>
      <c r="AA41" s="465">
        <f t="shared" si="12"/>
        <v>-7.7506704166394602E-3</v>
      </c>
      <c r="AB41" s="465">
        <f t="shared" si="13"/>
        <v>0.41319998935377389</v>
      </c>
    </row>
    <row r="42" spans="1:28" x14ac:dyDescent="0.15">
      <c r="A42" s="384">
        <f t="shared" si="8"/>
        <v>40</v>
      </c>
      <c r="B42" s="401">
        <f t="shared" ref="B42:B105" si="24">B41+7</f>
        <v>38016</v>
      </c>
      <c r="C42" s="372"/>
      <c r="D42" s="390">
        <v>29390.959999999999</v>
      </c>
      <c r="E42" s="387">
        <f>D42+Holdings_Old!$E$32</f>
        <v>29390.959999999999</v>
      </c>
      <c r="F42" s="387">
        <f t="shared" ref="F42:F73" si="25">E42-E41</f>
        <v>-949.29999999999927</v>
      </c>
      <c r="G42" s="388">
        <f t="shared" si="21"/>
        <v>-3.1288459624274734E-2</v>
      </c>
      <c r="H42" s="387">
        <f t="shared" si="22"/>
        <v>6535.1100000000006</v>
      </c>
      <c r="I42" s="388">
        <f t="shared" si="23"/>
        <v>0.28592723525924435</v>
      </c>
      <c r="J42" s="375">
        <f t="shared" si="19"/>
        <v>-4.1061395188889183E-2</v>
      </c>
      <c r="K42" s="372"/>
      <c r="L42" s="369">
        <v>1131.1300000000001</v>
      </c>
      <c r="M42" s="394">
        <f t="shared" ref="M42:M79" si="26">(L42/L41)-1</f>
        <v>-9.1279400814680001E-3</v>
      </c>
      <c r="N42" s="394">
        <f t="shared" si="4"/>
        <v>0.21616420092895239</v>
      </c>
      <c r="O42" s="395" t="str">
        <f t="shared" si="5"/>
        <v>No</v>
      </c>
      <c r="P42" s="396">
        <f t="shared" si="15"/>
        <v>0</v>
      </c>
      <c r="Q42" s="394">
        <f>SUM($P$4:P42)/COUNT($P$4:P42)</f>
        <v>0.61538461538461542</v>
      </c>
      <c r="R42" s="375">
        <f t="shared" si="20"/>
        <v>2.0433386258660535E-2</v>
      </c>
      <c r="S42" s="369">
        <v>10488.07</v>
      </c>
      <c r="T42" s="394">
        <f t="shared" ref="T42:T79" si="27">(S42/S41)-1</f>
        <v>-7.5906319754663887E-3</v>
      </c>
      <c r="U42" s="394">
        <f t="shared" si="17"/>
        <v>0.22200408264085336</v>
      </c>
      <c r="V42" s="395" t="str">
        <f t="shared" si="18"/>
        <v>No</v>
      </c>
      <c r="W42" s="396">
        <f t="shared" si="16"/>
        <v>0</v>
      </c>
      <c r="X42" s="394">
        <f>SUM($W$4:W42)/COUNT($W$4:W42)</f>
        <v>0.5641025641025641</v>
      </c>
      <c r="Z42" s="464">
        <v>2066.15</v>
      </c>
      <c r="AA42" s="465">
        <f t="shared" ref="AA42:AA79" si="28">(Z42/Z41)-1</f>
        <v>-2.7176804606684923E-2</v>
      </c>
      <c r="AB42" s="465">
        <f t="shared" ref="AB42:AB79" si="29">(Z42/$Z$3)-1</f>
        <v>0.37479372937293731</v>
      </c>
    </row>
    <row r="43" spans="1:28" x14ac:dyDescent="0.15">
      <c r="A43" s="384">
        <f t="shared" si="8"/>
        <v>41</v>
      </c>
      <c r="B43" s="401">
        <f t="shared" si="24"/>
        <v>38023</v>
      </c>
      <c r="C43" s="372"/>
      <c r="D43" s="390">
        <v>29673.82</v>
      </c>
      <c r="E43" s="387">
        <f>D43+Holdings_Old!$E$32</f>
        <v>29673.82</v>
      </c>
      <c r="F43" s="387">
        <f t="shared" si="25"/>
        <v>282.86000000000058</v>
      </c>
      <c r="G43" s="388">
        <f t="shared" si="21"/>
        <v>9.6240476663573826E-3</v>
      </c>
      <c r="H43" s="387">
        <f t="shared" si="22"/>
        <v>6817.9700000000012</v>
      </c>
      <c r="I43" s="388">
        <f t="shared" si="23"/>
        <v>0.29830306026684639</v>
      </c>
      <c r="J43" s="375">
        <f t="shared" si="19"/>
        <v>-3.183252434707684E-2</v>
      </c>
      <c r="K43" s="372"/>
      <c r="L43" s="369">
        <v>1142.76</v>
      </c>
      <c r="M43" s="394">
        <f t="shared" si="26"/>
        <v>1.028175364458539E-2</v>
      </c>
      <c r="N43" s="394">
        <f t="shared" si="4"/>
        <v>0.228668501634268</v>
      </c>
      <c r="O43" s="395" t="str">
        <f t="shared" si="5"/>
        <v>No</v>
      </c>
      <c r="P43" s="396">
        <f t="shared" si="15"/>
        <v>0</v>
      </c>
      <c r="Q43" s="394">
        <f>SUM($P$4:P43)/COUNT($P$4:P43)</f>
        <v>0.6</v>
      </c>
      <c r="R43" s="375">
        <f t="shared" si="20"/>
        <v>3.0925230946882154E-2</v>
      </c>
      <c r="S43" s="369">
        <v>10593.03</v>
      </c>
      <c r="T43" s="394">
        <f t="shared" si="27"/>
        <v>1.0007560971656559E-2</v>
      </c>
      <c r="U43" s="394">
        <f t="shared" si="17"/>
        <v>0.23423336300549491</v>
      </c>
      <c r="V43" s="395" t="str">
        <f t="shared" si="18"/>
        <v>No</v>
      </c>
      <c r="W43" s="396">
        <f t="shared" si="16"/>
        <v>0</v>
      </c>
      <c r="X43" s="394">
        <f>SUM($W$4:W43)/COUNT($W$4:W43)</f>
        <v>0.55000000000000004</v>
      </c>
      <c r="Z43" s="464">
        <v>2064.0100000000002</v>
      </c>
      <c r="AA43" s="465">
        <f t="shared" si="28"/>
        <v>-1.0357428066692931E-3</v>
      </c>
      <c r="AB43" s="465">
        <f t="shared" si="29"/>
        <v>0.37336979665708503</v>
      </c>
    </row>
    <row r="44" spans="1:28" x14ac:dyDescent="0.15">
      <c r="A44" s="384">
        <f t="shared" si="8"/>
        <v>42</v>
      </c>
      <c r="B44" s="401">
        <f t="shared" si="24"/>
        <v>38030</v>
      </c>
      <c r="C44" s="372"/>
      <c r="D44" s="390">
        <v>29580.97</v>
      </c>
      <c r="E44" s="387">
        <f>D44+Holdings_Old!$E$32</f>
        <v>29580.97</v>
      </c>
      <c r="F44" s="387">
        <f t="shared" si="25"/>
        <v>-92.849999999998545</v>
      </c>
      <c r="G44" s="388">
        <f t="shared" si="21"/>
        <v>-3.1290208001530928E-3</v>
      </c>
      <c r="H44" s="387">
        <f t="shared" si="22"/>
        <v>6725.1200000000026</v>
      </c>
      <c r="I44" s="388">
        <f t="shared" si="23"/>
        <v>0.29424064298636909</v>
      </c>
      <c r="J44" s="375">
        <f t="shared" si="19"/>
        <v>-3.4861940516426548E-2</v>
      </c>
      <c r="K44" s="372"/>
      <c r="L44" s="369">
        <v>1145.81</v>
      </c>
      <c r="M44" s="394">
        <f t="shared" si="26"/>
        <v>2.6689768630332456E-3</v>
      </c>
      <c r="N44" s="394">
        <f t="shared" si="4"/>
        <v>0.23194778943746752</v>
      </c>
      <c r="O44" s="395" t="str">
        <f t="shared" si="5"/>
        <v>No</v>
      </c>
      <c r="P44" s="396">
        <f t="shared" si="15"/>
        <v>0</v>
      </c>
      <c r="Q44" s="394">
        <f>SUM($P$4:P44)/COUNT($P$4:P44)</f>
        <v>0.58536585365853655</v>
      </c>
      <c r="R44" s="375">
        <f t="shared" si="20"/>
        <v>3.3676746535796775E-2</v>
      </c>
      <c r="S44" s="369">
        <v>10628.85</v>
      </c>
      <c r="T44" s="394">
        <f t="shared" si="27"/>
        <v>3.3814687582305325E-3</v>
      </c>
      <c r="U44" s="394">
        <f t="shared" si="17"/>
        <v>0.23840688456286374</v>
      </c>
      <c r="V44" s="395" t="str">
        <f t="shared" si="18"/>
        <v>No</v>
      </c>
      <c r="W44" s="396">
        <f t="shared" si="16"/>
        <v>0</v>
      </c>
      <c r="X44" s="394">
        <f>SUM($W$4:W44)/COUNT($W$4:W44)</f>
        <v>0.53658536585365857</v>
      </c>
      <c r="Z44" s="464">
        <v>2053.56</v>
      </c>
      <c r="AA44" s="465">
        <f t="shared" si="28"/>
        <v>-5.0629599662793678E-3</v>
      </c>
      <c r="AB44" s="465">
        <f t="shared" si="29"/>
        <v>0.36641648035771301</v>
      </c>
    </row>
    <row r="45" spans="1:28" x14ac:dyDescent="0.15">
      <c r="A45" s="384">
        <f t="shared" si="8"/>
        <v>43</v>
      </c>
      <c r="B45" s="401">
        <f t="shared" si="24"/>
        <v>38037</v>
      </c>
      <c r="C45" s="372"/>
      <c r="D45" s="390">
        <v>29455.64</v>
      </c>
      <c r="E45" s="387">
        <f>D45+Holdings_Old!$E$32</f>
        <v>29455.64</v>
      </c>
      <c r="F45" s="387">
        <f t="shared" si="25"/>
        <v>-125.33000000000175</v>
      </c>
      <c r="G45" s="388">
        <f t="shared" si="21"/>
        <v>-4.2368455125035842E-3</v>
      </c>
      <c r="H45" s="387">
        <f t="shared" si="22"/>
        <v>6599.7900000000009</v>
      </c>
      <c r="I45" s="388">
        <f t="shared" si="23"/>
        <v>0.28875714532603247</v>
      </c>
      <c r="J45" s="375">
        <f t="shared" si="19"/>
        <v>-3.8951081372695873E-2</v>
      </c>
      <c r="K45" s="372"/>
      <c r="L45" s="369">
        <v>1144.1099999999999</v>
      </c>
      <c r="M45" s="394">
        <f t="shared" si="26"/>
        <v>-1.4836665764830226E-3</v>
      </c>
      <c r="N45" s="394">
        <f t="shared" si="4"/>
        <v>0.23011998967830705</v>
      </c>
      <c r="O45" s="395" t="str">
        <f t="shared" si="5"/>
        <v>No</v>
      </c>
      <c r="P45" s="396">
        <f t="shared" si="15"/>
        <v>0</v>
      </c>
      <c r="Q45" s="394">
        <f>SUM($P$4:P45)/COUNT($P$4:P45)</f>
        <v>0.5714285714285714</v>
      </c>
      <c r="R45" s="375">
        <f t="shared" si="20"/>
        <v>3.2143114896073799E-2</v>
      </c>
      <c r="S45" s="369">
        <v>10619.03</v>
      </c>
      <c r="T45" s="394">
        <f t="shared" si="27"/>
        <v>-9.2390051604829271E-4</v>
      </c>
      <c r="U45" s="394">
        <f t="shared" si="17"/>
        <v>0.23726271980313851</v>
      </c>
      <c r="V45" s="395" t="str">
        <f t="shared" si="18"/>
        <v>No</v>
      </c>
      <c r="W45" s="396">
        <f t="shared" si="16"/>
        <v>0</v>
      </c>
      <c r="X45" s="394">
        <f>SUM($W$4:W45)/COUNT($W$4:W45)</f>
        <v>0.52380952380952384</v>
      </c>
      <c r="Z45" s="464">
        <v>2037.93</v>
      </c>
      <c r="AA45" s="465">
        <f t="shared" si="28"/>
        <v>-7.6111727926136963E-3</v>
      </c>
      <c r="AB45" s="465">
        <f t="shared" si="29"/>
        <v>0.35601644841903535</v>
      </c>
    </row>
    <row r="46" spans="1:28" x14ac:dyDescent="0.15">
      <c r="A46" s="384">
        <f t="shared" si="8"/>
        <v>44</v>
      </c>
      <c r="B46" s="401">
        <f t="shared" si="24"/>
        <v>38044</v>
      </c>
      <c r="C46" s="372"/>
      <c r="D46" s="390">
        <v>29503.45</v>
      </c>
      <c r="E46" s="387">
        <f>D46+Holdings_Old!$E$32</f>
        <v>29503.45</v>
      </c>
      <c r="F46" s="387">
        <f t="shared" si="25"/>
        <v>47.81000000000131</v>
      </c>
      <c r="G46" s="388">
        <f t="shared" si="21"/>
        <v>1.6231186964534849E-3</v>
      </c>
      <c r="H46" s="387">
        <f t="shared" si="22"/>
        <v>6647.6000000000022</v>
      </c>
      <c r="I46" s="388">
        <f t="shared" si="23"/>
        <v>0.29084895114379927</v>
      </c>
      <c r="J46" s="375">
        <f t="shared" si="19"/>
        <v>-3.7391184904665531E-2</v>
      </c>
      <c r="K46" s="372"/>
      <c r="L46" s="369">
        <v>1144.94</v>
      </c>
      <c r="M46" s="394">
        <f t="shared" si="26"/>
        <v>7.2545472026308566E-4</v>
      </c>
      <c r="N46" s="394">
        <f t="shared" si="4"/>
        <v>0.23101238603130914</v>
      </c>
      <c r="O46" s="395" t="str">
        <f t="shared" si="5"/>
        <v>Yes</v>
      </c>
      <c r="P46" s="396">
        <f t="shared" si="15"/>
        <v>1</v>
      </c>
      <c r="Q46" s="394">
        <f>SUM($P$4:P46)/COUNT($P$4:P46)</f>
        <v>0.58139534883720934</v>
      </c>
      <c r="R46" s="375">
        <f t="shared" si="20"/>
        <v>3.2891887990762259E-2</v>
      </c>
      <c r="S46" s="369">
        <v>10583.92</v>
      </c>
      <c r="T46" s="394">
        <f t="shared" si="27"/>
        <v>-3.3063283557914769E-3</v>
      </c>
      <c r="U46" s="394">
        <f t="shared" si="17"/>
        <v>0.23317192298908962</v>
      </c>
      <c r="V46" s="395" t="str">
        <f t="shared" si="18"/>
        <v>Yes</v>
      </c>
      <c r="W46" s="396">
        <f t="shared" si="16"/>
        <v>1</v>
      </c>
      <c r="X46" s="394">
        <f>SUM($W$4:W46)/COUNT($W$4:W46)</f>
        <v>0.53488372093023251</v>
      </c>
      <c r="Z46" s="464">
        <v>2029.82</v>
      </c>
      <c r="AA46" s="465">
        <f t="shared" si="28"/>
        <v>-3.9795282467994797E-3</v>
      </c>
      <c r="AB46" s="465">
        <f t="shared" si="29"/>
        <v>0.35062014265942709</v>
      </c>
    </row>
    <row r="47" spans="1:28" x14ac:dyDescent="0.15">
      <c r="A47" s="384">
        <f t="shared" si="8"/>
        <v>45</v>
      </c>
      <c r="B47" s="401">
        <f t="shared" si="24"/>
        <v>38051</v>
      </c>
      <c r="C47" s="372"/>
      <c r="D47" s="390">
        <v>29619.45</v>
      </c>
      <c r="E47" s="387">
        <f>D47+Holdings_Old!$E$32</f>
        <v>29619.45</v>
      </c>
      <c r="F47" s="387">
        <f t="shared" si="25"/>
        <v>116</v>
      </c>
      <c r="G47" s="388">
        <f t="shared" si="21"/>
        <v>3.931743575751323E-3</v>
      </c>
      <c r="H47" s="387">
        <f t="shared" si="22"/>
        <v>6763.6000000000022</v>
      </c>
      <c r="I47" s="388">
        <f t="shared" si="23"/>
        <v>0.29592423821472424</v>
      </c>
      <c r="J47" s="375">
        <f t="shared" si="19"/>
        <v>-3.3606453879952869E-2</v>
      </c>
      <c r="K47" s="372"/>
      <c r="L47" s="369">
        <v>1156.8599999999999</v>
      </c>
      <c r="M47" s="394">
        <f t="shared" si="26"/>
        <v>1.0411025905287419E-2</v>
      </c>
      <c r="N47" s="394">
        <f t="shared" si="4"/>
        <v>0.24382848787201095</v>
      </c>
      <c r="O47" s="395" t="str">
        <f t="shared" si="5"/>
        <v>No</v>
      </c>
      <c r="P47" s="396">
        <f t="shared" si="15"/>
        <v>0</v>
      </c>
      <c r="Q47" s="394">
        <f>SUM($P$4:P47)/COUNT($P$4:P47)</f>
        <v>0.56818181818181823</v>
      </c>
      <c r="R47" s="375">
        <f t="shared" si="20"/>
        <v>4.3645352193995235E-2</v>
      </c>
      <c r="S47" s="369">
        <v>10595.55</v>
      </c>
      <c r="T47" s="394">
        <f t="shared" si="27"/>
        <v>1.0988367259010534E-3</v>
      </c>
      <c r="U47" s="394">
        <f t="shared" si="17"/>
        <v>0.23452697758742014</v>
      </c>
      <c r="V47" s="395" t="str">
        <f t="shared" si="18"/>
        <v>Yes</v>
      </c>
      <c r="W47" s="396">
        <f t="shared" si="16"/>
        <v>1</v>
      </c>
      <c r="X47" s="394">
        <f>SUM($W$4:W47)/COUNT($W$4:W47)</f>
        <v>0.54545454545454541</v>
      </c>
      <c r="Z47" s="464">
        <v>2047.63</v>
      </c>
      <c r="AA47" s="465">
        <f t="shared" si="28"/>
        <v>8.7741770206226644E-3</v>
      </c>
      <c r="AB47" s="465">
        <f t="shared" si="29"/>
        <v>0.36247072287873938</v>
      </c>
    </row>
    <row r="48" spans="1:28" x14ac:dyDescent="0.15">
      <c r="A48" s="384">
        <f t="shared" si="8"/>
        <v>46</v>
      </c>
      <c r="B48" s="401">
        <f t="shared" si="24"/>
        <v>38058</v>
      </c>
      <c r="C48" s="372"/>
      <c r="D48" s="390">
        <v>29016.49</v>
      </c>
      <c r="E48" s="387">
        <f>D48+Holdings_Old!$E$32</f>
        <v>29016.49</v>
      </c>
      <c r="F48" s="387">
        <f t="shared" si="25"/>
        <v>-602.95999999999913</v>
      </c>
      <c r="G48" s="388">
        <f t="shared" si="21"/>
        <v>-2.0356893865348558E-2</v>
      </c>
      <c r="H48" s="387">
        <f t="shared" si="22"/>
        <v>6160.6400000000031</v>
      </c>
      <c r="I48" s="388">
        <f t="shared" si="23"/>
        <v>0.26954324603985436</v>
      </c>
      <c r="J48" s="375">
        <f t="shared" si="19"/>
        <v>-5.3279224730476527E-2</v>
      </c>
      <c r="K48" s="372"/>
      <c r="L48" s="369">
        <v>1120.57</v>
      </c>
      <c r="M48" s="394">
        <f t="shared" si="26"/>
        <v>-3.136939646975434E-2</v>
      </c>
      <c r="N48" s="394">
        <f t="shared" si="4"/>
        <v>0.20481033889557865</v>
      </c>
      <c r="O48" s="395" t="str">
        <f t="shared" si="5"/>
        <v>Yes</v>
      </c>
      <c r="P48" s="396">
        <f t="shared" si="15"/>
        <v>1</v>
      </c>
      <c r="Q48" s="394">
        <f>SUM($P$4:P48)/COUNT($P$4:P48)</f>
        <v>0.57777777777777772</v>
      </c>
      <c r="R48" s="375">
        <f t="shared" si="20"/>
        <v>1.0906827367205496E-2</v>
      </c>
      <c r="S48" s="369">
        <v>10240.08</v>
      </c>
      <c r="T48" s="394">
        <f t="shared" si="27"/>
        <v>-3.3548989906139748E-2</v>
      </c>
      <c r="U48" s="394">
        <f t="shared" si="17"/>
        <v>0.19310984447748258</v>
      </c>
      <c r="V48" s="395" t="str">
        <f t="shared" si="18"/>
        <v>Yes</v>
      </c>
      <c r="W48" s="396">
        <f t="shared" si="16"/>
        <v>1</v>
      </c>
      <c r="X48" s="394">
        <f>SUM($W$4:W48)/COUNT($W$4:W48)</f>
        <v>0.55555555555555558</v>
      </c>
      <c r="Z48" s="464">
        <v>1984.73</v>
      </c>
      <c r="AA48" s="465">
        <f t="shared" si="28"/>
        <v>-3.0718440343226128E-2</v>
      </c>
      <c r="AB48" s="465">
        <f t="shared" si="29"/>
        <v>0.32061774725859671</v>
      </c>
    </row>
    <row r="49" spans="1:28" x14ac:dyDescent="0.15">
      <c r="A49" s="384">
        <f t="shared" si="8"/>
        <v>47</v>
      </c>
      <c r="B49" s="401">
        <f t="shared" si="24"/>
        <v>38065</v>
      </c>
      <c r="C49" s="372"/>
      <c r="D49" s="390">
        <v>28837.81</v>
      </c>
      <c r="E49" s="387">
        <f>D49+Holdings_Old!$E$32</f>
        <v>28837.81</v>
      </c>
      <c r="F49" s="387">
        <f t="shared" si="25"/>
        <v>-178.68000000000029</v>
      </c>
      <c r="G49" s="388">
        <f t="shared" si="21"/>
        <v>-6.1578778136156531E-3</v>
      </c>
      <c r="H49" s="387">
        <f t="shared" si="22"/>
        <v>5981.9600000000028</v>
      </c>
      <c r="I49" s="388">
        <f t="shared" si="23"/>
        <v>0.26172555385163987</v>
      </c>
      <c r="J49" s="375">
        <f t="shared" si="19"/>
        <v>-5.9109015588197811E-2</v>
      </c>
      <c r="K49" s="372"/>
      <c r="L49" s="369">
        <v>1109.74</v>
      </c>
      <c r="M49" s="394">
        <f t="shared" si="26"/>
        <v>-9.6647242028610192E-3</v>
      </c>
      <c r="N49" s="394">
        <f t="shared" si="4"/>
        <v>0.19316617925339741</v>
      </c>
      <c r="O49" s="395" t="str">
        <f t="shared" si="5"/>
        <v>Yes</v>
      </c>
      <c r="P49" s="396">
        <f t="shared" si="15"/>
        <v>1</v>
      </c>
      <c r="Q49" s="394">
        <f>SUM($P$4:P49)/COUNT($P$4:P49)</f>
        <v>0.58695652173913049</v>
      </c>
      <c r="R49" s="375">
        <f t="shared" si="20"/>
        <v>1.1366916859121279E-3</v>
      </c>
      <c r="S49" s="369">
        <v>10186.6</v>
      </c>
      <c r="T49" s="394">
        <f t="shared" si="27"/>
        <v>-5.2226154483168141E-3</v>
      </c>
      <c r="U49" s="394">
        <f t="shared" si="17"/>
        <v>0.18687869057217554</v>
      </c>
      <c r="V49" s="395" t="str">
        <f t="shared" si="18"/>
        <v>No</v>
      </c>
      <c r="W49" s="396">
        <f t="shared" si="16"/>
        <v>0</v>
      </c>
      <c r="X49" s="394">
        <f>SUM($W$4:W49)/COUNT($W$4:W49)</f>
        <v>0.54347826086956519</v>
      </c>
      <c r="Z49" s="464">
        <v>1940.47</v>
      </c>
      <c r="AA49" s="465">
        <f t="shared" si="28"/>
        <v>-2.2300262504219681E-2</v>
      </c>
      <c r="AB49" s="465">
        <f t="shared" si="29"/>
        <v>0.29116762482699876</v>
      </c>
    </row>
    <row r="50" spans="1:28" x14ac:dyDescent="0.15">
      <c r="A50" s="384">
        <f t="shared" si="8"/>
        <v>48</v>
      </c>
      <c r="B50" s="401">
        <f t="shared" si="24"/>
        <v>38072</v>
      </c>
      <c r="C50" s="372"/>
      <c r="D50" s="390">
        <v>28946.799999999999</v>
      </c>
      <c r="E50" s="387">
        <f>D50+Holdings_Old!$E$32</f>
        <v>28946.799999999999</v>
      </c>
      <c r="F50" s="387">
        <f t="shared" si="25"/>
        <v>108.98999999999796</v>
      </c>
      <c r="G50" s="388">
        <f t="shared" si="21"/>
        <v>3.7794132078683429E-3</v>
      </c>
      <c r="H50" s="387">
        <f t="shared" si="22"/>
        <v>6090.9500000000007</v>
      </c>
      <c r="I50" s="388">
        <f t="shared" si="23"/>
        <v>0.26649413607457184</v>
      </c>
      <c r="J50" s="375">
        <f t="shared" si="19"/>
        <v>-5.5552999774547529E-2</v>
      </c>
      <c r="K50" s="372"/>
      <c r="L50" s="369">
        <v>1108.06</v>
      </c>
      <c r="M50" s="394">
        <f t="shared" si="26"/>
        <v>-1.5138681132518261E-3</v>
      </c>
      <c r="N50" s="394">
        <f t="shared" si="4"/>
        <v>0.19135988302081541</v>
      </c>
      <c r="O50" s="395" t="str">
        <f t="shared" si="5"/>
        <v>Yes</v>
      </c>
      <c r="P50" s="396">
        <f t="shared" si="15"/>
        <v>1</v>
      </c>
      <c r="Q50" s="394">
        <f>SUM($P$4:P50)/COUNT($P$4:P50)</f>
        <v>0.5957446808510638</v>
      </c>
      <c r="R50" s="375">
        <f t="shared" si="20"/>
        <v>-3.7889722863748698E-4</v>
      </c>
      <c r="S50" s="369">
        <v>10212.969999999999</v>
      </c>
      <c r="T50" s="394">
        <f t="shared" si="27"/>
        <v>2.5886949521920499E-3</v>
      </c>
      <c r="U50" s="394">
        <f t="shared" si="17"/>
        <v>0.18995115744732405</v>
      </c>
      <c r="V50" s="395" t="str">
        <f t="shared" si="18"/>
        <v>Yes</v>
      </c>
      <c r="W50" s="396">
        <f t="shared" si="16"/>
        <v>1</v>
      </c>
      <c r="X50" s="394">
        <f>SUM($W$4:W50)/COUNT($W$4:W50)</f>
        <v>0.55319148936170215</v>
      </c>
      <c r="Z50" s="464">
        <v>1960.02</v>
      </c>
      <c r="AA50" s="465">
        <f t="shared" si="28"/>
        <v>1.0074878766484385E-2</v>
      </c>
      <c r="AB50" s="465">
        <f t="shared" si="29"/>
        <v>0.30417598211434038</v>
      </c>
    </row>
    <row r="51" spans="1:28" x14ac:dyDescent="0.15">
      <c r="A51" s="384">
        <f t="shared" si="8"/>
        <v>49</v>
      </c>
      <c r="B51" s="401">
        <f t="shared" si="24"/>
        <v>38079</v>
      </c>
      <c r="C51" s="372"/>
      <c r="D51" s="390">
        <v>29704.21</v>
      </c>
      <c r="E51" s="387">
        <f>D51+Holdings_Old!$E$32</f>
        <v>29704.21</v>
      </c>
      <c r="F51" s="387">
        <f t="shared" si="25"/>
        <v>757.40999999999985</v>
      </c>
      <c r="G51" s="388">
        <f t="shared" si="21"/>
        <v>2.61655865242445E-2</v>
      </c>
      <c r="H51" s="387">
        <f t="shared" si="22"/>
        <v>6848.3600000000006</v>
      </c>
      <c r="I51" s="388">
        <f t="shared" si="23"/>
        <v>0.29963269797447922</v>
      </c>
      <c r="J51" s="375">
        <f t="shared" si="19"/>
        <v>-3.0840990072585339E-2</v>
      </c>
      <c r="K51" s="372"/>
      <c r="L51" s="369">
        <v>1141.8399999999999</v>
      </c>
      <c r="M51" s="394">
        <f t="shared" si="26"/>
        <v>3.0485713770012524E-2</v>
      </c>
      <c r="N51" s="394">
        <f t="shared" si="4"/>
        <v>0.22767933941166341</v>
      </c>
      <c r="O51" s="395" t="str">
        <f t="shared" si="5"/>
        <v>No</v>
      </c>
      <c r="P51" s="396">
        <f t="shared" si="15"/>
        <v>0</v>
      </c>
      <c r="Q51" s="394">
        <f>SUM($P$4:P51)/COUNT($P$4:P51)</f>
        <v>0.58333333333333337</v>
      </c>
      <c r="R51" s="375">
        <f t="shared" si="20"/>
        <v>3.0095265588914399E-2</v>
      </c>
      <c r="S51" s="369">
        <v>10470.59</v>
      </c>
      <c r="T51" s="394">
        <f t="shared" si="27"/>
        <v>2.5224787696429329E-2</v>
      </c>
      <c r="U51" s="394">
        <f t="shared" si="17"/>
        <v>0.21996742276305303</v>
      </c>
      <c r="V51" s="395" t="str">
        <f t="shared" si="18"/>
        <v>Yes</v>
      </c>
      <c r="W51" s="396">
        <f t="shared" si="16"/>
        <v>1</v>
      </c>
      <c r="X51" s="394">
        <f>SUM($W$4:W51)/COUNT($W$4:W51)</f>
        <v>0.5625</v>
      </c>
      <c r="Z51" s="464">
        <v>2057.17</v>
      </c>
      <c r="AA51" s="465">
        <f t="shared" si="28"/>
        <v>4.9565820756931167E-2</v>
      </c>
      <c r="AB51" s="465">
        <f t="shared" si="29"/>
        <v>0.36881853507931428</v>
      </c>
    </row>
    <row r="52" spans="1:28" x14ac:dyDescent="0.15">
      <c r="A52" s="384">
        <f t="shared" si="8"/>
        <v>50</v>
      </c>
      <c r="B52" s="401">
        <f t="shared" si="24"/>
        <v>38086</v>
      </c>
      <c r="C52" s="372"/>
      <c r="D52" s="390">
        <v>29609.72</v>
      </c>
      <c r="E52" s="387">
        <f>D52+Holdings_Old!$E$32</f>
        <v>29609.72</v>
      </c>
      <c r="F52" s="387">
        <f t="shared" si="25"/>
        <v>-94.489999999997963</v>
      </c>
      <c r="G52" s="388">
        <f t="shared" si="21"/>
        <v>-3.1810305677207884E-3</v>
      </c>
      <c r="H52" s="387">
        <f t="shared" si="22"/>
        <v>6753.8700000000026</v>
      </c>
      <c r="I52" s="388">
        <f t="shared" si="23"/>
        <v>0.29549852663541287</v>
      </c>
      <c r="J52" s="375">
        <f t="shared" si="19"/>
        <v>-3.3923914508146469E-2</v>
      </c>
      <c r="K52" s="372"/>
      <c r="L52" s="369">
        <v>1139.32</v>
      </c>
      <c r="M52" s="394">
        <f t="shared" si="26"/>
        <v>-2.2069641981363741E-3</v>
      </c>
      <c r="N52" s="394">
        <f t="shared" si="4"/>
        <v>0.22496989506279008</v>
      </c>
      <c r="O52" s="395" t="str">
        <f t="shared" si="5"/>
        <v>No</v>
      </c>
      <c r="P52" s="396">
        <f t="shared" si="15"/>
        <v>0</v>
      </c>
      <c r="Q52" s="394">
        <f>SUM($P$4:P52)/COUNT($P$4:P52)</f>
        <v>0.5714285714285714</v>
      </c>
      <c r="R52" s="375">
        <f t="shared" si="20"/>
        <v>2.7821882217089922E-2</v>
      </c>
      <c r="S52" s="369">
        <v>10442.030000000001</v>
      </c>
      <c r="T52" s="394">
        <f t="shared" si="27"/>
        <v>-2.7276399897235848E-3</v>
      </c>
      <c r="U52" s="394">
        <f t="shared" si="17"/>
        <v>0.21663979083456453</v>
      </c>
      <c r="V52" s="395" t="str">
        <f t="shared" si="18"/>
        <v>No</v>
      </c>
      <c r="W52" s="396">
        <f t="shared" si="16"/>
        <v>0</v>
      </c>
      <c r="X52" s="394">
        <f>SUM($W$4:W52)/COUNT($W$4:W52)</f>
        <v>0.55102040816326525</v>
      </c>
      <c r="Z52" s="464">
        <v>2052.88</v>
      </c>
      <c r="AA52" s="465">
        <f t="shared" si="28"/>
        <v>-2.0853891511153355E-3</v>
      </c>
      <c r="AB52" s="465">
        <f t="shared" si="29"/>
        <v>0.36596401575641435</v>
      </c>
    </row>
    <row r="53" spans="1:28" x14ac:dyDescent="0.15">
      <c r="A53" s="384">
        <f t="shared" si="8"/>
        <v>51</v>
      </c>
      <c r="B53" s="401">
        <f t="shared" si="24"/>
        <v>38093</v>
      </c>
      <c r="C53" s="372"/>
      <c r="D53" s="390">
        <v>29251.01</v>
      </c>
      <c r="E53" s="387">
        <f>D53+Holdings_Old!$E$32</f>
        <v>29251.01</v>
      </c>
      <c r="F53" s="387">
        <f t="shared" si="25"/>
        <v>-358.71000000000276</v>
      </c>
      <c r="G53" s="388">
        <f t="shared" si="21"/>
        <v>-1.2114602907423722E-2</v>
      </c>
      <c r="H53" s="387">
        <f t="shared" si="22"/>
        <v>6395.16</v>
      </c>
      <c r="I53" s="388">
        <f t="shared" si="23"/>
        <v>0.27980407641807248</v>
      </c>
      <c r="J53" s="375">
        <f t="shared" si="19"/>
        <v>-4.5627542662238674E-2</v>
      </c>
      <c r="K53" s="372"/>
      <c r="L53" s="369">
        <v>1134.6099999999999</v>
      </c>
      <c r="M53" s="394">
        <f t="shared" si="26"/>
        <v>-4.1340448688691467E-3</v>
      </c>
      <c r="N53" s="394">
        <f t="shared" si="4"/>
        <v>0.2199058145535866</v>
      </c>
      <c r="O53" s="395" t="str">
        <f t="shared" si="5"/>
        <v>No</v>
      </c>
      <c r="P53" s="396">
        <f t="shared" si="15"/>
        <v>0</v>
      </c>
      <c r="Q53" s="394">
        <f>SUM($P$4:P53)/COUNT($P$4:P53)</f>
        <v>0.56000000000000005</v>
      </c>
      <c r="R53" s="375">
        <f t="shared" si="20"/>
        <v>2.3572820438799047E-2</v>
      </c>
      <c r="S53" s="369">
        <v>10451.969999999999</v>
      </c>
      <c r="T53" s="394">
        <f t="shared" si="27"/>
        <v>9.5192218371309423E-4</v>
      </c>
      <c r="U53" s="394">
        <f t="shared" si="17"/>
        <v>0.21779793724104812</v>
      </c>
      <c r="V53" s="395" t="str">
        <f t="shared" si="18"/>
        <v>No</v>
      </c>
      <c r="W53" s="396">
        <f t="shared" si="16"/>
        <v>0</v>
      </c>
      <c r="X53" s="394">
        <f>SUM($W$4:W53)/COUNT($W$4:W53)</f>
        <v>0.54</v>
      </c>
      <c r="Z53" s="464">
        <v>1995.74</v>
      </c>
      <c r="AA53" s="465">
        <f t="shared" si="28"/>
        <v>-2.7834067261603312E-2</v>
      </c>
      <c r="AB53" s="465">
        <f t="shared" si="29"/>
        <v>0.32794368146492059</v>
      </c>
    </row>
    <row r="54" spans="1:28" x14ac:dyDescent="0.15">
      <c r="A54" s="384">
        <f t="shared" si="8"/>
        <v>52</v>
      </c>
      <c r="B54" s="401">
        <f t="shared" si="24"/>
        <v>38100</v>
      </c>
      <c r="C54" s="372"/>
      <c r="D54" s="390">
        <v>29508.45</v>
      </c>
      <c r="E54" s="387">
        <f>D54+Holdings_Old!$E$32</f>
        <v>29508.45</v>
      </c>
      <c r="F54" s="387">
        <f t="shared" si="25"/>
        <v>257.44000000000233</v>
      </c>
      <c r="G54" s="388">
        <f t="shared" si="21"/>
        <v>8.8010636213928795E-3</v>
      </c>
      <c r="H54" s="387">
        <f t="shared" si="22"/>
        <v>6652.6000000000022</v>
      </c>
      <c r="I54" s="388">
        <f t="shared" si="23"/>
        <v>0.2910677135175459</v>
      </c>
      <c r="J54" s="375">
        <f t="shared" si="19"/>
        <v>-3.7228049946703812E-2</v>
      </c>
      <c r="K54" s="372"/>
      <c r="L54" s="369">
        <v>1140.5999999999999</v>
      </c>
      <c r="M54" s="394">
        <f t="shared" si="26"/>
        <v>5.2793470884269222E-3</v>
      </c>
      <c r="N54" s="394">
        <f t="shared" si="4"/>
        <v>0.22634612076380511</v>
      </c>
      <c r="O54" s="395" t="str">
        <f t="shared" si="5"/>
        <v>Yes</v>
      </c>
      <c r="P54" s="396">
        <f t="shared" si="15"/>
        <v>1</v>
      </c>
      <c r="Q54" s="394">
        <f>SUM($P$4:P54)/COUNT($P$4:P54)</f>
        <v>0.56862745098039214</v>
      </c>
      <c r="R54" s="375">
        <f t="shared" si="20"/>
        <v>2.8976616628175522E-2</v>
      </c>
      <c r="S54" s="369">
        <v>10472.84</v>
      </c>
      <c r="T54" s="394">
        <f t="shared" si="27"/>
        <v>1.9967527652682282E-3</v>
      </c>
      <c r="U54" s="394">
        <f t="shared" si="17"/>
        <v>0.22022957863977211</v>
      </c>
      <c r="V54" s="395" t="str">
        <f t="shared" si="18"/>
        <v>Yes</v>
      </c>
      <c r="W54" s="396">
        <f t="shared" si="16"/>
        <v>1</v>
      </c>
      <c r="X54" s="394">
        <f>SUM($W$4:W54)/COUNT($W$4:W54)</f>
        <v>0.5490196078431373</v>
      </c>
      <c r="Z54" s="464">
        <v>2049.77</v>
      </c>
      <c r="AA54" s="465">
        <f t="shared" si="28"/>
        <v>2.7072664775972699E-2</v>
      </c>
      <c r="AB54" s="465">
        <f t="shared" si="29"/>
        <v>0.36389465559459166</v>
      </c>
    </row>
    <row r="55" spans="1:28" x14ac:dyDescent="0.15">
      <c r="A55" s="384">
        <f t="shared" si="8"/>
        <v>53</v>
      </c>
      <c r="B55" s="401">
        <f t="shared" si="24"/>
        <v>38107</v>
      </c>
      <c r="C55" s="372"/>
      <c r="D55" s="390">
        <v>28705</v>
      </c>
      <c r="E55" s="387">
        <f>D55+Holdings_Old!$E$32</f>
        <v>28705</v>
      </c>
      <c r="F55" s="387">
        <f t="shared" si="25"/>
        <v>-803.45000000000073</v>
      </c>
      <c r="G55" s="388">
        <f t="shared" si="21"/>
        <v>-2.7227794072545386E-2</v>
      </c>
      <c r="H55" s="387">
        <f t="shared" si="22"/>
        <v>5849.1500000000015</v>
      </c>
      <c r="I55" s="388">
        <f t="shared" si="23"/>
        <v>0.25591478768017817</v>
      </c>
      <c r="J55" s="375">
        <f t="shared" si="19"/>
        <v>-6.3442206341577934E-2</v>
      </c>
      <c r="K55" s="372"/>
      <c r="L55" s="369">
        <v>1107.3</v>
      </c>
      <c r="M55" s="394">
        <f t="shared" si="26"/>
        <v>-2.9195160441872647E-2</v>
      </c>
      <c r="N55" s="394">
        <f t="shared" si="4"/>
        <v>0.19054274901083779</v>
      </c>
      <c r="O55" s="395" t="str">
        <f t="shared" si="5"/>
        <v>Yes</v>
      </c>
      <c r="P55" s="396">
        <f t="shared" si="15"/>
        <v>1</v>
      </c>
      <c r="Q55" s="394">
        <f>SUM($P$4:P55)/COUNT($P$4:P55)</f>
        <v>0.57692307692307687</v>
      </c>
      <c r="R55" s="375">
        <f t="shared" si="20"/>
        <v>-1.0645207852194583E-3</v>
      </c>
      <c r="S55" s="369">
        <v>10225.57</v>
      </c>
      <c r="T55" s="394">
        <f t="shared" si="27"/>
        <v>-2.3610596552606555E-2</v>
      </c>
      <c r="U55" s="394">
        <f t="shared" si="17"/>
        <v>0.1914192303569513</v>
      </c>
      <c r="V55" s="395" t="str">
        <f t="shared" si="18"/>
        <v>No</v>
      </c>
      <c r="W55" s="396">
        <f t="shared" si="16"/>
        <v>0</v>
      </c>
      <c r="X55" s="394">
        <f>SUM($W$4:W55)/COUNT($W$4:W55)</f>
        <v>0.53846153846153844</v>
      </c>
      <c r="Z55" s="464">
        <v>1920.15</v>
      </c>
      <c r="AA55" s="465">
        <f t="shared" si="28"/>
        <v>-6.3236363104153148E-2</v>
      </c>
      <c r="AB55" s="465">
        <f t="shared" si="29"/>
        <v>0.27764691791759821</v>
      </c>
    </row>
    <row r="56" spans="1:28" x14ac:dyDescent="0.15">
      <c r="A56" s="384">
        <f t="shared" si="8"/>
        <v>54</v>
      </c>
      <c r="B56" s="401">
        <f t="shared" si="24"/>
        <v>38114</v>
      </c>
      <c r="C56" s="372"/>
      <c r="D56" s="390">
        <v>28710.05</v>
      </c>
      <c r="E56" s="387">
        <f>D56+Holdings_Old!$E$32</f>
        <v>28710.05</v>
      </c>
      <c r="F56" s="387">
        <f t="shared" si="25"/>
        <v>5.0499999999992724</v>
      </c>
      <c r="G56" s="388">
        <f t="shared" si="21"/>
        <v>1.7592753875628198E-4</v>
      </c>
      <c r="H56" s="387">
        <f t="shared" si="22"/>
        <v>5854.2000000000007</v>
      </c>
      <c r="I56" s="388">
        <f t="shared" si="23"/>
        <v>0.25613573767766251</v>
      </c>
      <c r="J56" s="375">
        <f t="shared" si="19"/>
        <v>-6.3277440034036569E-2</v>
      </c>
      <c r="K56" s="372"/>
      <c r="L56" s="369">
        <v>1098.7</v>
      </c>
      <c r="M56" s="394">
        <f t="shared" si="26"/>
        <v>-7.7666395737377991E-3</v>
      </c>
      <c r="N56" s="394">
        <f t="shared" si="4"/>
        <v>0.18129623258214345</v>
      </c>
      <c r="O56" s="395" t="str">
        <f t="shared" si="5"/>
        <v>Yes</v>
      </c>
      <c r="P56" s="396">
        <f t="shared" si="15"/>
        <v>1</v>
      </c>
      <c r="Q56" s="394">
        <f>SUM($P$4:P56)/COUNT($P$4:P56)</f>
        <v>0.58490566037735847</v>
      </c>
      <c r="R56" s="375">
        <f t="shared" si="20"/>
        <v>-8.8228926096997062E-3</v>
      </c>
      <c r="S56" s="369">
        <v>10117.34</v>
      </c>
      <c r="T56" s="394">
        <f t="shared" si="27"/>
        <v>-1.058425104908578E-2</v>
      </c>
      <c r="U56" s="394">
        <f t="shared" si="17"/>
        <v>0.1788089501181449</v>
      </c>
      <c r="V56" s="395" t="str">
        <f t="shared" si="18"/>
        <v>Yes</v>
      </c>
      <c r="W56" s="396">
        <f t="shared" si="16"/>
        <v>1</v>
      </c>
      <c r="X56" s="394">
        <f>SUM($W$4:W56)/COUNT($W$4:W56)</f>
        <v>0.54716981132075471</v>
      </c>
      <c r="Z56" s="464">
        <v>1917.96</v>
      </c>
      <c r="AA56" s="465">
        <f t="shared" si="28"/>
        <v>-1.1405358956332323E-3</v>
      </c>
      <c r="AB56" s="465">
        <f t="shared" si="29"/>
        <v>0.27618971574576801</v>
      </c>
    </row>
    <row r="57" spans="1:28" x14ac:dyDescent="0.15">
      <c r="A57" s="384">
        <f t="shared" si="8"/>
        <v>55</v>
      </c>
      <c r="B57" s="401">
        <f t="shared" si="24"/>
        <v>38121</v>
      </c>
      <c r="C57" s="372"/>
      <c r="D57" s="390">
        <v>28328.43</v>
      </c>
      <c r="E57" s="387">
        <f>D57+Holdings_Old!$E$32</f>
        <v>28328.43</v>
      </c>
      <c r="F57" s="387">
        <f t="shared" si="25"/>
        <v>-381.61999999999898</v>
      </c>
      <c r="G57" s="388">
        <f t="shared" si="21"/>
        <v>-1.3292209522449472E-2</v>
      </c>
      <c r="H57" s="387">
        <f t="shared" si="22"/>
        <v>5472.5800000000017</v>
      </c>
      <c r="I57" s="388">
        <f t="shared" si="23"/>
        <v>0.23943891826381436</v>
      </c>
      <c r="J57" s="375">
        <f t="shared" si="19"/>
        <v>-7.5728552565509366E-2</v>
      </c>
      <c r="K57" s="372"/>
      <c r="L57" s="369">
        <v>1095.7</v>
      </c>
      <c r="M57" s="394">
        <f t="shared" si="26"/>
        <v>-2.7304996814416782E-3</v>
      </c>
      <c r="N57" s="394">
        <f t="shared" si="4"/>
        <v>0.17807070359538968</v>
      </c>
      <c r="O57" s="395" t="str">
        <f t="shared" si="5"/>
        <v>No</v>
      </c>
      <c r="P57" s="396">
        <f t="shared" si="15"/>
        <v>0</v>
      </c>
      <c r="Q57" s="394">
        <f>SUM($P$4:P57)/COUNT($P$4:P57)</f>
        <v>0.57407407407407407</v>
      </c>
      <c r="R57" s="375">
        <f t="shared" si="20"/>
        <v>-1.1529301385681312E-2</v>
      </c>
      <c r="S57" s="369">
        <v>10012.870000000001</v>
      </c>
      <c r="T57" s="394">
        <f t="shared" si="27"/>
        <v>-1.0325836632948948E-2</v>
      </c>
      <c r="U57" s="394">
        <f t="shared" si="17"/>
        <v>0.16663676147776685</v>
      </c>
      <c r="V57" s="395" t="str">
        <f t="shared" si="18"/>
        <v>No</v>
      </c>
      <c r="W57" s="396">
        <f t="shared" si="16"/>
        <v>0</v>
      </c>
      <c r="X57" s="394">
        <f>SUM($W$4:W57)/COUNT($W$4:W57)</f>
        <v>0.53703703703703709</v>
      </c>
      <c r="Z57" s="464">
        <v>1904.25</v>
      </c>
      <c r="AA57" s="465">
        <f t="shared" si="28"/>
        <v>-7.1482199837327176E-3</v>
      </c>
      <c r="AB57" s="465">
        <f t="shared" si="29"/>
        <v>0.26706723091663997</v>
      </c>
    </row>
    <row r="58" spans="1:28" x14ac:dyDescent="0.15">
      <c r="A58" s="384">
        <f t="shared" si="8"/>
        <v>56</v>
      </c>
      <c r="B58" s="401">
        <f t="shared" si="24"/>
        <v>38128</v>
      </c>
      <c r="C58" s="372"/>
      <c r="D58" s="390">
        <v>28432.74</v>
      </c>
      <c r="E58" s="387">
        <f>D58+Holdings_Old!$E$32</f>
        <v>28432.74</v>
      </c>
      <c r="F58" s="387">
        <f t="shared" si="25"/>
        <v>104.31000000000131</v>
      </c>
      <c r="G58" s="388">
        <f t="shared" si="21"/>
        <v>3.6821666431920974E-3</v>
      </c>
      <c r="H58" s="387">
        <f t="shared" si="22"/>
        <v>5576.8900000000031</v>
      </c>
      <c r="I58" s="388">
        <f t="shared" si="23"/>
        <v>0.24400273890491952</v>
      </c>
      <c r="J58" s="375">
        <f t="shared" si="19"/>
        <v>-7.2325231072511209E-2</v>
      </c>
      <c r="K58" s="372"/>
      <c r="L58" s="369">
        <v>1093.56</v>
      </c>
      <c r="M58" s="394">
        <f t="shared" si="26"/>
        <v>-1.9530893492745172E-3</v>
      </c>
      <c r="N58" s="394">
        <f t="shared" si="4"/>
        <v>0.17576982625150506</v>
      </c>
      <c r="O58" s="395" t="str">
        <f t="shared" si="5"/>
        <v>Yes</v>
      </c>
      <c r="P58" s="396">
        <f t="shared" si="15"/>
        <v>1</v>
      </c>
      <c r="Q58" s="394">
        <f>SUM($P$4:P58)/COUNT($P$4:P58)</f>
        <v>0.58181818181818179</v>
      </c>
      <c r="R58" s="375">
        <f t="shared" si="20"/>
        <v>-1.3459872979214804E-2</v>
      </c>
      <c r="S58" s="369">
        <v>9966.74</v>
      </c>
      <c r="T58" s="394">
        <f t="shared" si="27"/>
        <v>-4.6070707000092082E-3</v>
      </c>
      <c r="U58" s="394">
        <f t="shared" si="17"/>
        <v>0.16126198343640907</v>
      </c>
      <c r="V58" s="395" t="str">
        <f t="shared" si="18"/>
        <v>Yes</v>
      </c>
      <c r="W58" s="396">
        <f t="shared" si="16"/>
        <v>1</v>
      </c>
      <c r="X58" s="394">
        <f>SUM($W$4:W58)/COUNT($W$4:W58)</f>
        <v>0.54545454545454541</v>
      </c>
      <c r="Z58" s="464">
        <v>1912.09</v>
      </c>
      <c r="AA58" s="465">
        <f t="shared" si="28"/>
        <v>4.1171064723644069E-3</v>
      </c>
      <c r="AB58" s="465">
        <f t="shared" si="29"/>
        <v>0.27228388161396766</v>
      </c>
    </row>
    <row r="59" spans="1:28" x14ac:dyDescent="0.15">
      <c r="A59" s="384">
        <f t="shared" si="8"/>
        <v>57</v>
      </c>
      <c r="B59" s="401">
        <f t="shared" si="24"/>
        <v>38135</v>
      </c>
      <c r="C59" s="372"/>
      <c r="D59" s="390">
        <v>29146.29</v>
      </c>
      <c r="E59" s="387">
        <f>D59+Holdings_Old!$E$32</f>
        <v>29146.29</v>
      </c>
      <c r="F59" s="387">
        <f t="shared" si="25"/>
        <v>713.54999999999927</v>
      </c>
      <c r="G59" s="388">
        <f t="shared" si="21"/>
        <v>2.5096068827696438E-2</v>
      </c>
      <c r="H59" s="387">
        <f t="shared" si="22"/>
        <v>6290.4400000000023</v>
      </c>
      <c r="I59" s="388">
        <f t="shared" si="23"/>
        <v>0.27522231726232027</v>
      </c>
      <c r="J59" s="375">
        <f t="shared" si="19"/>
        <v>-4.904424122178952E-2</v>
      </c>
      <c r="K59" s="372"/>
      <c r="L59" s="369">
        <v>1120.68</v>
      </c>
      <c r="M59" s="394">
        <f t="shared" si="26"/>
        <v>2.4799736639965042E-2</v>
      </c>
      <c r="N59" s="394">
        <f t="shared" si="4"/>
        <v>0.20492860829175985</v>
      </c>
      <c r="O59" s="395" t="str">
        <f t="shared" si="5"/>
        <v>Yes</v>
      </c>
      <c r="P59" s="396">
        <f t="shared" si="15"/>
        <v>1</v>
      </c>
      <c r="Q59" s="394">
        <f>SUM($P$4:P59)/COUNT($P$4:P59)</f>
        <v>0.5892857142857143</v>
      </c>
      <c r="R59" s="375">
        <f t="shared" si="20"/>
        <v>1.1006062355658264E-2</v>
      </c>
      <c r="S59" s="369">
        <v>10188.450000000001</v>
      </c>
      <c r="T59" s="394">
        <f t="shared" si="27"/>
        <v>2.2244986826184032E-2</v>
      </c>
      <c r="U59" s="394">
        <f t="shared" si="17"/>
        <v>0.18709424095970029</v>
      </c>
      <c r="V59" s="395" t="str">
        <f t="shared" si="18"/>
        <v>Yes</v>
      </c>
      <c r="W59" s="396">
        <f t="shared" si="16"/>
        <v>1</v>
      </c>
      <c r="X59" s="394">
        <f>SUM($W$4:W59)/COUNT($W$4:W59)</f>
        <v>0.5535714285714286</v>
      </c>
      <c r="Z59" s="464">
        <v>1986.74</v>
      </c>
      <c r="AA59" s="465">
        <f t="shared" si="28"/>
        <v>3.9041049322992238E-2</v>
      </c>
      <c r="AB59" s="465">
        <f t="shared" si="29"/>
        <v>0.32195517938890661</v>
      </c>
    </row>
    <row r="60" spans="1:28" x14ac:dyDescent="0.15">
      <c r="A60" s="384">
        <f t="shared" si="8"/>
        <v>58</v>
      </c>
      <c r="B60" s="401">
        <f t="shared" si="24"/>
        <v>38142</v>
      </c>
      <c r="C60" s="372"/>
      <c r="D60" s="390">
        <v>29264.76</v>
      </c>
      <c r="E60" s="387">
        <f>D60+Holdings_Old!$E$32</f>
        <v>29264.76</v>
      </c>
      <c r="F60" s="387">
        <f t="shared" si="25"/>
        <v>118.46999999999753</v>
      </c>
      <c r="G60" s="388">
        <f t="shared" si="21"/>
        <v>4.0646682648115551E-3</v>
      </c>
      <c r="H60" s="387">
        <f t="shared" si="22"/>
        <v>6408.91</v>
      </c>
      <c r="I60" s="388">
        <f t="shared" si="23"/>
        <v>0.28040567294587593</v>
      </c>
      <c r="J60" s="375">
        <f t="shared" si="19"/>
        <v>-4.5178921527843752E-2</v>
      </c>
      <c r="K60" s="372"/>
      <c r="L60" s="369">
        <v>1122.5</v>
      </c>
      <c r="M60" s="394">
        <f t="shared" si="26"/>
        <v>1.6240139915051355E-3</v>
      </c>
      <c r="N60" s="394">
        <f t="shared" si="4"/>
        <v>0.20688542921039055</v>
      </c>
      <c r="O60" s="395" t="str">
        <f t="shared" si="5"/>
        <v>Yes</v>
      </c>
      <c r="P60" s="396">
        <f t="shared" si="15"/>
        <v>1</v>
      </c>
      <c r="Q60" s="394">
        <f>SUM($P$4:P60)/COUNT($P$4:P60)</f>
        <v>0.59649122807017541</v>
      </c>
      <c r="R60" s="375">
        <f t="shared" si="20"/>
        <v>1.26479503464203E-2</v>
      </c>
      <c r="S60" s="369">
        <v>10242.82</v>
      </c>
      <c r="T60" s="394">
        <f t="shared" si="27"/>
        <v>5.3364348845996723E-3</v>
      </c>
      <c r="U60" s="394">
        <f t="shared" si="17"/>
        <v>0.19342909207846493</v>
      </c>
      <c r="V60" s="395" t="str">
        <f t="shared" si="18"/>
        <v>No</v>
      </c>
      <c r="W60" s="396">
        <f t="shared" si="16"/>
        <v>0</v>
      </c>
      <c r="X60" s="394">
        <f>SUM($W$4:W60)/COUNT($W$4:W60)</f>
        <v>0.54385964912280704</v>
      </c>
      <c r="Z60" s="464">
        <v>1978.62</v>
      </c>
      <c r="AA60" s="465">
        <f t="shared" si="28"/>
        <v>-4.0870974561342255E-3</v>
      </c>
      <c r="AB60" s="465">
        <f t="shared" si="29"/>
        <v>0.31655221973810277</v>
      </c>
    </row>
    <row r="61" spans="1:28" x14ac:dyDescent="0.15">
      <c r="A61" s="384">
        <f t="shared" si="8"/>
        <v>59</v>
      </c>
      <c r="B61" s="401">
        <f t="shared" si="24"/>
        <v>38149</v>
      </c>
      <c r="C61" s="372"/>
      <c r="D61" s="390">
        <v>29535.200000000001</v>
      </c>
      <c r="E61" s="387">
        <f>D61+Holdings_Old!$E$32</f>
        <v>29535.200000000001</v>
      </c>
      <c r="F61" s="387">
        <f t="shared" si="25"/>
        <v>270.44000000000233</v>
      </c>
      <c r="G61" s="388">
        <f t="shared" si="21"/>
        <v>9.2411487399863823E-3</v>
      </c>
      <c r="H61" s="387">
        <f t="shared" si="22"/>
        <v>6679.3500000000022</v>
      </c>
      <c r="I61" s="388">
        <f t="shared" si="23"/>
        <v>0.29223809221709107</v>
      </c>
      <c r="J61" s="375">
        <f t="shared" si="19"/>
        <v>-3.635527792160842E-2</v>
      </c>
      <c r="K61" s="372"/>
      <c r="L61" s="369">
        <v>1136.47</v>
      </c>
      <c r="M61" s="394">
        <f t="shared" si="26"/>
        <v>1.2445434298441027E-2</v>
      </c>
      <c r="N61" s="394">
        <f t="shared" si="4"/>
        <v>0.22190564252537404</v>
      </c>
      <c r="O61" s="395" t="str">
        <f t="shared" si="5"/>
        <v>No</v>
      </c>
      <c r="P61" s="396">
        <f t="shared" si="15"/>
        <v>0</v>
      </c>
      <c r="Q61" s="394">
        <f>SUM($P$4:P61)/COUNT($P$4:P61)</f>
        <v>0.58620689655172409</v>
      </c>
      <c r="R61" s="375">
        <f t="shared" si="20"/>
        <v>2.5250793879907585E-2</v>
      </c>
      <c r="S61" s="369">
        <v>10410.1</v>
      </c>
      <c r="T61" s="394">
        <f t="shared" si="27"/>
        <v>1.6331439974538231E-2</v>
      </c>
      <c r="U61" s="394">
        <f t="shared" si="17"/>
        <v>0.21291950765961221</v>
      </c>
      <c r="V61" s="395" t="str">
        <f t="shared" si="18"/>
        <v>No</v>
      </c>
      <c r="W61" s="396">
        <f t="shared" si="16"/>
        <v>0</v>
      </c>
      <c r="X61" s="394">
        <f>SUM($W$4:W61)/COUNT($W$4:W61)</f>
        <v>0.53448275862068961</v>
      </c>
      <c r="Z61" s="464">
        <v>1999.87</v>
      </c>
      <c r="AA61" s="465">
        <f t="shared" si="28"/>
        <v>1.0739808553436259E-2</v>
      </c>
      <c r="AB61" s="465">
        <f t="shared" si="29"/>
        <v>0.33069173852869138</v>
      </c>
    </row>
    <row r="62" spans="1:28" x14ac:dyDescent="0.15">
      <c r="A62" s="384">
        <f t="shared" si="8"/>
        <v>60</v>
      </c>
      <c r="B62" s="401">
        <f t="shared" si="24"/>
        <v>38156</v>
      </c>
      <c r="C62" s="372"/>
      <c r="D62" s="390">
        <v>29479.62</v>
      </c>
      <c r="E62" s="387">
        <f>D62+Holdings_Old!$E$32</f>
        <v>29479.62</v>
      </c>
      <c r="F62" s="387">
        <f t="shared" si="25"/>
        <v>-55.580000000001746</v>
      </c>
      <c r="G62" s="388">
        <f t="shared" si="21"/>
        <v>-1.8818223678864765E-3</v>
      </c>
      <c r="H62" s="387">
        <f t="shared" si="22"/>
        <v>6623.77</v>
      </c>
      <c r="I62" s="388">
        <f t="shared" si="23"/>
        <v>0.289806329670522</v>
      </c>
      <c r="J62" s="375">
        <f t="shared" si="19"/>
        <v>-3.8168686114311345E-2</v>
      </c>
      <c r="K62" s="372"/>
      <c r="L62" s="369">
        <v>1135.02</v>
      </c>
      <c r="M62" s="394">
        <f t="shared" si="26"/>
        <v>-1.2758805775779924E-3</v>
      </c>
      <c r="N62" s="394">
        <f t="shared" si="4"/>
        <v>0.22034663684844302</v>
      </c>
      <c r="O62" s="395" t="str">
        <f t="shared" si="5"/>
        <v>No</v>
      </c>
      <c r="P62" s="396">
        <f t="shared" si="15"/>
        <v>0</v>
      </c>
      <c r="Q62" s="394">
        <f>SUM($P$4:P62)/COUNT($P$4:P62)</f>
        <v>0.57627118644067798</v>
      </c>
      <c r="R62" s="375">
        <f t="shared" si="20"/>
        <v>2.3942696304849909E-2</v>
      </c>
      <c r="S62" s="369">
        <v>10416.41</v>
      </c>
      <c r="T62" s="394">
        <f t="shared" si="27"/>
        <v>6.0614211198739554E-4</v>
      </c>
      <c r="U62" s="394">
        <f t="shared" si="17"/>
        <v>0.21365470925165564</v>
      </c>
      <c r="V62" s="395" t="str">
        <f t="shared" si="18"/>
        <v>No</v>
      </c>
      <c r="W62" s="396">
        <f t="shared" si="16"/>
        <v>0</v>
      </c>
      <c r="X62" s="394">
        <f>SUM($W$4:W62)/COUNT($W$4:W62)</f>
        <v>0.52542372881355937</v>
      </c>
      <c r="Z62" s="464">
        <v>1986.73</v>
      </c>
      <c r="AA62" s="465">
        <f t="shared" si="28"/>
        <v>-6.5704270777600104E-3</v>
      </c>
      <c r="AB62" s="465">
        <f t="shared" si="29"/>
        <v>0.32194852549771102</v>
      </c>
    </row>
    <row r="63" spans="1:28" x14ac:dyDescent="0.15">
      <c r="A63" s="384">
        <f t="shared" si="8"/>
        <v>61</v>
      </c>
      <c r="B63" s="401">
        <f t="shared" si="24"/>
        <v>38163</v>
      </c>
      <c r="C63" s="372"/>
      <c r="D63" s="390">
        <v>29886.83</v>
      </c>
      <c r="E63" s="387">
        <f>D63+Holdings_Old!$E$32</f>
        <v>29886.83</v>
      </c>
      <c r="F63" s="387">
        <f t="shared" si="25"/>
        <v>407.21000000000276</v>
      </c>
      <c r="G63" s="388">
        <f t="shared" si="21"/>
        <v>1.3813271677179051E-2</v>
      </c>
      <c r="H63" s="387">
        <f t="shared" si="22"/>
        <v>7030.9800000000032</v>
      </c>
      <c r="I63" s="388">
        <f t="shared" si="23"/>
        <v>0.30762277491320611</v>
      </c>
      <c r="J63" s="375">
        <f t="shared" si="19"/>
        <v>-2.4882648867990187E-2</v>
      </c>
      <c r="K63" s="372"/>
      <c r="L63" s="369">
        <v>1134.43</v>
      </c>
      <c r="M63" s="394">
        <f t="shared" si="26"/>
        <v>-5.198146288170058E-4</v>
      </c>
      <c r="N63" s="394">
        <f t="shared" si="4"/>
        <v>0.2197122828143816</v>
      </c>
      <c r="O63" s="395" t="str">
        <f t="shared" si="5"/>
        <v>Yes</v>
      </c>
      <c r="P63" s="396">
        <f t="shared" si="15"/>
        <v>1</v>
      </c>
      <c r="Q63" s="394">
        <f>SUM($P$4:P63)/COUNT($P$4:P63)</f>
        <v>0.58333333333333337</v>
      </c>
      <c r="R63" s="375">
        <f t="shared" si="20"/>
        <v>2.3410435912240235E-2</v>
      </c>
      <c r="S63" s="369">
        <v>10371.84</v>
      </c>
      <c r="T63" s="394">
        <f t="shared" si="27"/>
        <v>-4.2788254302585926E-3</v>
      </c>
      <c r="U63" s="394">
        <f t="shared" si="17"/>
        <v>0.20846169261815661</v>
      </c>
      <c r="V63" s="395" t="str">
        <f t="shared" si="18"/>
        <v>Yes</v>
      </c>
      <c r="W63" s="396">
        <f t="shared" si="16"/>
        <v>1</v>
      </c>
      <c r="X63" s="394">
        <f>SUM($W$4:W63)/COUNT($W$4:W63)</f>
        <v>0.53333333333333333</v>
      </c>
      <c r="Z63" s="464">
        <v>2025.47</v>
      </c>
      <c r="AA63" s="465">
        <f t="shared" si="28"/>
        <v>1.9499378375521514E-2</v>
      </c>
      <c r="AB63" s="465">
        <f t="shared" si="29"/>
        <v>0.34772569998935365</v>
      </c>
    </row>
    <row r="64" spans="1:28" x14ac:dyDescent="0.15">
      <c r="A64" s="384">
        <f t="shared" si="8"/>
        <v>62</v>
      </c>
      <c r="B64" s="401">
        <f t="shared" si="24"/>
        <v>38170</v>
      </c>
      <c r="C64" s="372"/>
      <c r="D64" s="390">
        <v>29597.52</v>
      </c>
      <c r="E64" s="387">
        <f>D64+Holdings_Old!$E$32</f>
        <v>29597.52</v>
      </c>
      <c r="F64" s="387">
        <f t="shared" si="25"/>
        <v>-289.31000000000131</v>
      </c>
      <c r="G64" s="388">
        <f t="shared" si="21"/>
        <v>-9.6801835457290819E-3</v>
      </c>
      <c r="H64" s="387">
        <f t="shared" si="22"/>
        <v>6741.6700000000019</v>
      </c>
      <c r="I64" s="388">
        <f t="shared" si="23"/>
        <v>0.29496474644347082</v>
      </c>
      <c r="J64" s="375">
        <f t="shared" si="19"/>
        <v>-3.4321963805573175E-2</v>
      </c>
      <c r="K64" s="372"/>
      <c r="L64" s="369">
        <v>1125.3800000000001</v>
      </c>
      <c r="M64" s="394">
        <f t="shared" si="26"/>
        <v>-7.9775746410091219E-3</v>
      </c>
      <c r="N64" s="394">
        <f t="shared" si="4"/>
        <v>0.20998193703767432</v>
      </c>
      <c r="O64" s="395" t="str">
        <f t="shared" si="5"/>
        <v>No</v>
      </c>
      <c r="P64" s="396">
        <f t="shared" si="15"/>
        <v>0</v>
      </c>
      <c r="Q64" s="394">
        <f>SUM($P$4:P64)/COUNT($P$4:P64)</f>
        <v>0.57377049180327866</v>
      </c>
      <c r="R64" s="375">
        <f t="shared" si="20"/>
        <v>1.5246102771362624E-2</v>
      </c>
      <c r="S64" s="369">
        <v>10282.83</v>
      </c>
      <c r="T64" s="394">
        <f t="shared" si="27"/>
        <v>-8.5818909663087917E-3</v>
      </c>
      <c r="U64" s="394">
        <f t="shared" si="17"/>
        <v>0.19809080613514651</v>
      </c>
      <c r="V64" s="395" t="str">
        <f t="shared" si="18"/>
        <v>No</v>
      </c>
      <c r="W64" s="396">
        <f t="shared" si="16"/>
        <v>0</v>
      </c>
      <c r="X64" s="394">
        <f>SUM($W$4:W64)/COUNT($W$4:W64)</f>
        <v>0.52459016393442626</v>
      </c>
      <c r="Z64" s="464">
        <v>2006.66</v>
      </c>
      <c r="AA64" s="465">
        <f t="shared" si="28"/>
        <v>-9.2867334495203568E-3</v>
      </c>
      <c r="AB64" s="465">
        <f t="shared" si="29"/>
        <v>0.33520973065048443</v>
      </c>
    </row>
    <row r="65" spans="1:28" x14ac:dyDescent="0.15">
      <c r="A65" s="384">
        <f t="shared" si="8"/>
        <v>63</v>
      </c>
      <c r="B65" s="401">
        <f t="shared" si="24"/>
        <v>38177</v>
      </c>
      <c r="C65" s="372"/>
      <c r="D65" s="390">
        <v>29302.639999999999</v>
      </c>
      <c r="E65" s="387">
        <f>D65+Holdings_Old!$E$32</f>
        <v>29302.639999999999</v>
      </c>
      <c r="F65" s="387">
        <f t="shared" si="25"/>
        <v>-294.88000000000102</v>
      </c>
      <c r="G65" s="388">
        <f t="shared" si="21"/>
        <v>-9.9629968997402285E-3</v>
      </c>
      <c r="H65" s="387">
        <f t="shared" si="22"/>
        <v>6446.7900000000009</v>
      </c>
      <c r="I65" s="388">
        <f t="shared" si="23"/>
        <v>0.28206301668938161</v>
      </c>
      <c r="J65" s="375">
        <f t="shared" si="19"/>
        <v>-4.3943011086325479E-2</v>
      </c>
      <c r="K65" s="372"/>
      <c r="L65" s="369">
        <v>1112.81</v>
      </c>
      <c r="M65" s="394">
        <f t="shared" si="26"/>
        <v>-1.1169560504007636E-2</v>
      </c>
      <c r="N65" s="394">
        <f t="shared" si="4"/>
        <v>0.19646697058317564</v>
      </c>
      <c r="O65" s="395" t="str">
        <f t="shared" si="5"/>
        <v>Yes</v>
      </c>
      <c r="P65" s="396">
        <f t="shared" si="15"/>
        <v>1</v>
      </c>
      <c r="Q65" s="394">
        <f>SUM($P$4:P65)/COUNT($P$4:P65)</f>
        <v>0.58064516129032262</v>
      </c>
      <c r="R65" s="375">
        <f t="shared" si="20"/>
        <v>3.90625E-3</v>
      </c>
      <c r="S65" s="369">
        <v>10213.219999999999</v>
      </c>
      <c r="T65" s="394">
        <f t="shared" si="27"/>
        <v>-6.7695371799397774E-3</v>
      </c>
      <c r="U65" s="394">
        <f t="shared" si="17"/>
        <v>0.18998028587807059</v>
      </c>
      <c r="V65" s="395" t="str">
        <f t="shared" si="18"/>
        <v>No</v>
      </c>
      <c r="W65" s="396">
        <f t="shared" si="16"/>
        <v>0</v>
      </c>
      <c r="X65" s="394">
        <f>SUM($W$4:W65)/COUNT($W$4:W65)</f>
        <v>0.5161290322580645</v>
      </c>
      <c r="Z65" s="464">
        <v>1946.33</v>
      </c>
      <c r="AA65" s="465">
        <f t="shared" si="28"/>
        <v>-3.0064883936491538E-2</v>
      </c>
      <c r="AB65" s="465">
        <f t="shared" si="29"/>
        <v>0.2950668050676033</v>
      </c>
    </row>
    <row r="66" spans="1:28" x14ac:dyDescent="0.15">
      <c r="A66" s="384">
        <f t="shared" si="8"/>
        <v>64</v>
      </c>
      <c r="B66" s="401">
        <f t="shared" si="24"/>
        <v>38184</v>
      </c>
      <c r="C66" s="372"/>
      <c r="D66" s="390">
        <v>28749.51</v>
      </c>
      <c r="E66" s="387">
        <f>D66+Holdings_Old!$E$32</f>
        <v>28749.51</v>
      </c>
      <c r="F66" s="387">
        <f t="shared" si="25"/>
        <v>-553.13000000000102</v>
      </c>
      <c r="G66" s="388">
        <f t="shared" si="21"/>
        <v>-1.887645618278766E-2</v>
      </c>
      <c r="H66" s="387">
        <f t="shared" si="22"/>
        <v>5893.66</v>
      </c>
      <c r="I66" s="388">
        <f t="shared" si="23"/>
        <v>0.25786221033127177</v>
      </c>
      <c r="J66" s="375">
        <f t="shared" si="19"/>
        <v>-6.1989978945802382E-2</v>
      </c>
      <c r="K66" s="372"/>
      <c r="L66" s="369">
        <v>1101.3900000000001</v>
      </c>
      <c r="M66" s="394">
        <f t="shared" si="26"/>
        <v>-1.0262308929646413E-2</v>
      </c>
      <c r="N66" s="394">
        <f t="shared" si="4"/>
        <v>0.18418845690693275</v>
      </c>
      <c r="O66" s="395" t="str">
        <f t="shared" si="5"/>
        <v>No</v>
      </c>
      <c r="P66" s="396">
        <f t="shared" si="15"/>
        <v>0</v>
      </c>
      <c r="Q66" s="394">
        <f>SUM($P$4:P66)/COUNT($P$4:P66)</f>
        <v>0.5714285714285714</v>
      </c>
      <c r="R66" s="375">
        <f t="shared" si="20"/>
        <v>-6.3961460739029308E-3</v>
      </c>
      <c r="S66" s="369">
        <v>10139.780000000001</v>
      </c>
      <c r="T66" s="394">
        <f t="shared" si="27"/>
        <v>-7.1906803143375608E-3</v>
      </c>
      <c r="U66" s="394">
        <f t="shared" si="17"/>
        <v>0.18142351806195745</v>
      </c>
      <c r="V66" s="395" t="str">
        <f t="shared" si="18"/>
        <v>No</v>
      </c>
      <c r="W66" s="396">
        <f t="shared" si="16"/>
        <v>0</v>
      </c>
      <c r="X66" s="394">
        <f>SUM($W$4:W66)/COUNT($W$4:W66)</f>
        <v>0.50793650793650791</v>
      </c>
      <c r="Z66" s="464">
        <v>1883.15</v>
      </c>
      <c r="AA66" s="465">
        <f t="shared" si="28"/>
        <v>-3.2461093442530231E-2</v>
      </c>
      <c r="AB66" s="465">
        <f t="shared" si="29"/>
        <v>0.25302752049398491</v>
      </c>
    </row>
    <row r="67" spans="1:28" x14ac:dyDescent="0.15">
      <c r="A67" s="384">
        <f t="shared" si="8"/>
        <v>65</v>
      </c>
      <c r="B67" s="401">
        <f t="shared" si="24"/>
        <v>38191</v>
      </c>
      <c r="C67" s="372"/>
      <c r="D67" s="390">
        <v>28311.7</v>
      </c>
      <c r="E67" s="387">
        <f>D67+Holdings_Old!$E$32</f>
        <v>28311.7</v>
      </c>
      <c r="F67" s="387">
        <f t="shared" si="25"/>
        <v>-437.80999999999767</v>
      </c>
      <c r="G67" s="388">
        <f t="shared" si="21"/>
        <v>-1.5228433458517987E-2</v>
      </c>
      <c r="H67" s="387">
        <f t="shared" si="22"/>
        <v>5455.8500000000022</v>
      </c>
      <c r="I67" s="388">
        <f t="shared" si="23"/>
        <v>0.23870693936125775</v>
      </c>
      <c r="J67" s="375">
        <f t="shared" si="19"/>
        <v>-7.6274402134849373E-2</v>
      </c>
      <c r="K67" s="372"/>
      <c r="L67" s="369">
        <v>1086.2</v>
      </c>
      <c r="M67" s="394">
        <f t="shared" si="26"/>
        <v>-1.3791663261878195E-2</v>
      </c>
      <c r="N67" s="394">
        <f t="shared" si="4"/>
        <v>0.16785652847066923</v>
      </c>
      <c r="O67" s="395" t="str">
        <f t="shared" si="5"/>
        <v>No</v>
      </c>
      <c r="P67" s="396">
        <f t="shared" si="15"/>
        <v>0</v>
      </c>
      <c r="Q67" s="394">
        <f>SUM($P$4:P67)/COUNT($P$4:P67)</f>
        <v>0.5625</v>
      </c>
      <c r="R67" s="375">
        <f t="shared" si="20"/>
        <v>-2.0099595842956064E-2</v>
      </c>
      <c r="S67" s="369">
        <v>9962.2199999999993</v>
      </c>
      <c r="T67" s="394">
        <f t="shared" si="27"/>
        <v>-1.7511228054257755E-2</v>
      </c>
      <c r="U67" s="394">
        <f t="shared" si="17"/>
        <v>0.16073534140851087</v>
      </c>
      <c r="V67" s="395" t="str">
        <f t="shared" si="18"/>
        <v>Yes</v>
      </c>
      <c r="W67" s="396">
        <f t="shared" si="16"/>
        <v>1</v>
      </c>
      <c r="X67" s="394">
        <f>SUM($W$4:W67)/COUNT($W$4:W67)</f>
        <v>0.515625</v>
      </c>
      <c r="Z67" s="464">
        <v>1849.09</v>
      </c>
      <c r="AA67" s="465">
        <f t="shared" si="28"/>
        <v>-1.8086716406021885E-2</v>
      </c>
      <c r="AB67" s="465">
        <f t="shared" si="29"/>
        <v>0.23036436708186936</v>
      </c>
    </row>
    <row r="68" spans="1:28" x14ac:dyDescent="0.15">
      <c r="A68" s="384">
        <f t="shared" si="8"/>
        <v>66</v>
      </c>
      <c r="B68" s="401">
        <f t="shared" si="24"/>
        <v>38198</v>
      </c>
      <c r="C68" s="372"/>
      <c r="D68" s="390">
        <v>28792.53</v>
      </c>
      <c r="E68" s="387">
        <f>D68+Holdings_Old!$E$32</f>
        <v>28792.53</v>
      </c>
      <c r="F68" s="387">
        <f t="shared" si="25"/>
        <v>480.82999999999811</v>
      </c>
      <c r="G68" s="388">
        <f t="shared" si="21"/>
        <v>1.6983437942617252E-2</v>
      </c>
      <c r="H68" s="387">
        <f t="shared" si="22"/>
        <v>5936.68</v>
      </c>
      <c r="I68" s="388">
        <f t="shared" si="23"/>
        <v>0.25974444179498901</v>
      </c>
      <c r="J68" s="375">
        <f t="shared" si="19"/>
        <v>-6.0586365767499428E-2</v>
      </c>
      <c r="K68" s="372"/>
      <c r="L68" s="369">
        <v>1101.72</v>
      </c>
      <c r="M68" s="394">
        <f t="shared" si="26"/>
        <v>1.4288344687902743E-2</v>
      </c>
      <c r="N68" s="394">
        <f t="shared" ref="N68:N131" si="30">(L68/$L$3)-1</f>
        <v>0.18454326509547569</v>
      </c>
      <c r="O68" s="395" t="str">
        <f t="shared" ref="O68:O131" si="31">IF(G68&gt;M68,"Yes","No")</f>
        <v>Yes</v>
      </c>
      <c r="P68" s="396">
        <f t="shared" si="15"/>
        <v>1</v>
      </c>
      <c r="Q68" s="394">
        <f>SUM($P$4:P68)/COUNT($P$4:P68)</f>
        <v>0.56923076923076921</v>
      </c>
      <c r="R68" s="375">
        <f t="shared" si="20"/>
        <v>-6.0984411085450718E-3</v>
      </c>
      <c r="S68" s="369">
        <v>10139.709999999999</v>
      </c>
      <c r="T68" s="394">
        <f t="shared" si="27"/>
        <v>1.7816310019252768E-2</v>
      </c>
      <c r="U68" s="394">
        <f t="shared" ref="U68:U99" si="32">(S68/$S$3)-1</f>
        <v>0.18141536210134812</v>
      </c>
      <c r="V68" s="395" t="str">
        <f t="shared" ref="V68:V99" si="33">IF(G68&gt;T68,"Yes","No")</f>
        <v>No</v>
      </c>
      <c r="W68" s="396">
        <f t="shared" si="16"/>
        <v>0</v>
      </c>
      <c r="X68" s="394">
        <f>SUM($W$4:W68)/COUNT($W$4:W68)</f>
        <v>0.50769230769230766</v>
      </c>
      <c r="Z68" s="464">
        <v>1887.36</v>
      </c>
      <c r="AA68" s="465">
        <f t="shared" si="28"/>
        <v>2.0696667009177494E-2</v>
      </c>
      <c r="AB68" s="465">
        <f t="shared" si="29"/>
        <v>0.25582880868732016</v>
      </c>
    </row>
    <row r="69" spans="1:28" x14ac:dyDescent="0.15">
      <c r="A69" s="384">
        <f t="shared" ref="A69:A132" si="34">A68+1</f>
        <v>67</v>
      </c>
      <c r="B69" s="401">
        <f t="shared" si="24"/>
        <v>38205</v>
      </c>
      <c r="C69" s="372"/>
      <c r="D69" s="390">
        <v>27961.47</v>
      </c>
      <c r="E69" s="387">
        <f>D69+Holdings_Old!$E$32</f>
        <v>27961.47</v>
      </c>
      <c r="F69" s="387">
        <f t="shared" si="25"/>
        <v>-831.05999999999767</v>
      </c>
      <c r="G69" s="388">
        <f t="shared" si="21"/>
        <v>-2.8863736531662854E-2</v>
      </c>
      <c r="H69" s="387">
        <f t="shared" si="22"/>
        <v>5105.6200000000026</v>
      </c>
      <c r="I69" s="388">
        <f t="shared" si="23"/>
        <v>0.22338351012979185</v>
      </c>
      <c r="J69" s="375">
        <f t="shared" si="19"/>
        <v>-8.7701353400238213E-2</v>
      </c>
      <c r="K69" s="372"/>
      <c r="L69" s="369">
        <v>1063.97</v>
      </c>
      <c r="M69" s="394">
        <f t="shared" si="26"/>
        <v>-3.4264604436698987E-2</v>
      </c>
      <c r="N69" s="394">
        <f t="shared" si="30"/>
        <v>0.14395535867882336</v>
      </c>
      <c r="O69" s="395" t="str">
        <f t="shared" si="31"/>
        <v>Yes</v>
      </c>
      <c r="P69" s="396">
        <f t="shared" si="15"/>
        <v>1</v>
      </c>
      <c r="Q69" s="394">
        <f>SUM($P$4:P69)/COUNT($P$4:P69)</f>
        <v>0.5757575757575758</v>
      </c>
      <c r="R69" s="375">
        <f t="shared" si="20"/>
        <v>-4.0154084872979223E-2</v>
      </c>
      <c r="S69" s="369">
        <v>9815.33</v>
      </c>
      <c r="T69" s="394">
        <f t="shared" si="27"/>
        <v>-3.199105299855709E-2</v>
      </c>
      <c r="U69" s="394">
        <f t="shared" si="32"/>
        <v>0.14362064063905433</v>
      </c>
      <c r="V69" s="395" t="str">
        <f t="shared" si="33"/>
        <v>Yes</v>
      </c>
      <c r="W69" s="396">
        <f t="shared" si="16"/>
        <v>1</v>
      </c>
      <c r="X69" s="394">
        <f>SUM($W$4:W69)/COUNT($W$4:W69)</f>
        <v>0.51515151515151514</v>
      </c>
      <c r="Z69" s="464">
        <v>1776.89</v>
      </c>
      <c r="AA69" s="465">
        <f t="shared" si="28"/>
        <v>-5.8531493726686867E-2</v>
      </c>
      <c r="AB69" s="465">
        <f t="shared" si="29"/>
        <v>0.1823232726498456</v>
      </c>
    </row>
    <row r="70" spans="1:28" x14ac:dyDescent="0.15">
      <c r="A70" s="384">
        <f t="shared" si="34"/>
        <v>68</v>
      </c>
      <c r="B70" s="401">
        <f t="shared" si="24"/>
        <v>38212</v>
      </c>
      <c r="C70" s="372"/>
      <c r="D70" s="390">
        <v>27243.27</v>
      </c>
      <c r="E70" s="387">
        <f>D70+SUM(Holdings_Old!$E$32:$E$33)</f>
        <v>27243.27</v>
      </c>
      <c r="F70" s="387">
        <f t="shared" si="25"/>
        <v>-718.20000000000073</v>
      </c>
      <c r="G70" s="388">
        <f t="shared" si="21"/>
        <v>-2.5685344869207594E-2</v>
      </c>
      <c r="H70" s="387">
        <f t="shared" si="22"/>
        <v>4387.4200000000019</v>
      </c>
      <c r="I70" s="388">
        <f t="shared" si="23"/>
        <v>0.19196048276480648</v>
      </c>
      <c r="J70" s="375">
        <f t="shared" si="19"/>
        <v>-0.11113405876186444</v>
      </c>
      <c r="K70" s="372"/>
      <c r="L70" s="369">
        <v>1064.8</v>
      </c>
      <c r="M70" s="394">
        <f t="shared" si="26"/>
        <v>7.8009718319127508E-4</v>
      </c>
      <c r="N70" s="394">
        <f t="shared" si="30"/>
        <v>0.14484775503182501</v>
      </c>
      <c r="O70" s="395" t="str">
        <f t="shared" si="31"/>
        <v>No</v>
      </c>
      <c r="P70" s="396">
        <f t="shared" ref="P70:P133" si="35">IF(O70="Yes",1,0)</f>
        <v>0</v>
      </c>
      <c r="Q70" s="394">
        <f>SUM($P$4:P70)/COUNT($P$4:P70)</f>
        <v>0.56716417910447758</v>
      </c>
      <c r="R70" s="375">
        <f t="shared" si="20"/>
        <v>-3.9405311778291097E-2</v>
      </c>
      <c r="S70" s="369">
        <v>9825.35</v>
      </c>
      <c r="T70" s="394">
        <f t="shared" si="27"/>
        <v>1.0208520752741368E-3</v>
      </c>
      <c r="U70" s="394">
        <f t="shared" si="32"/>
        <v>0.14478810814337706</v>
      </c>
      <c r="V70" s="395" t="str">
        <f t="shared" si="33"/>
        <v>No</v>
      </c>
      <c r="W70" s="396">
        <f t="shared" ref="W70:W133" si="36">IF(V70="Yes",1,0)</f>
        <v>0</v>
      </c>
      <c r="X70" s="394">
        <f>SUM($W$4:W70)/COUNT($W$4:W70)</f>
        <v>0.5074626865671642</v>
      </c>
      <c r="Z70" s="464">
        <v>1757.22</v>
      </c>
      <c r="AA70" s="465">
        <f t="shared" si="28"/>
        <v>-1.1069903032827066E-2</v>
      </c>
      <c r="AB70" s="465">
        <f t="shared" si="29"/>
        <v>0.16923506866815696</v>
      </c>
    </row>
    <row r="71" spans="1:28" x14ac:dyDescent="0.15">
      <c r="A71" s="384">
        <f t="shared" si="34"/>
        <v>69</v>
      </c>
      <c r="B71" s="401">
        <f t="shared" si="24"/>
        <v>38219</v>
      </c>
      <c r="C71" s="372"/>
      <c r="D71" s="390">
        <v>28005.919999999998</v>
      </c>
      <c r="E71" s="387">
        <f>D71+SUM(Holdings_Old!$E$32:$E$33)</f>
        <v>28005.919999999998</v>
      </c>
      <c r="F71" s="387">
        <f t="shared" si="25"/>
        <v>762.64999999999782</v>
      </c>
      <c r="G71" s="388">
        <f t="shared" si="21"/>
        <v>2.7994069728046522E-2</v>
      </c>
      <c r="H71" s="387">
        <f t="shared" si="22"/>
        <v>5150.07</v>
      </c>
      <c r="I71" s="388">
        <f t="shared" si="23"/>
        <v>0.22532830763240042</v>
      </c>
      <c r="J71" s="375">
        <f t="shared" si="19"/>
        <v>-8.6251083623958391E-2</v>
      </c>
      <c r="K71" s="372"/>
      <c r="L71" s="369">
        <v>1098.3499999999999</v>
      </c>
      <c r="M71" s="394">
        <f t="shared" si="26"/>
        <v>3.1508264462809965E-2</v>
      </c>
      <c r="N71" s="394">
        <f t="shared" si="30"/>
        <v>0.18091992086702202</v>
      </c>
      <c r="O71" s="395" t="str">
        <f t="shared" si="31"/>
        <v>No</v>
      </c>
      <c r="P71" s="396">
        <f t="shared" si="35"/>
        <v>0</v>
      </c>
      <c r="Q71" s="394">
        <f>SUM($P$4:P71)/COUNT($P$4:P71)</f>
        <v>0.55882352941176472</v>
      </c>
      <c r="R71" s="375">
        <f t="shared" si="20"/>
        <v>-9.1386403002310379E-3</v>
      </c>
      <c r="S71" s="369">
        <v>10110.14</v>
      </c>
      <c r="T71" s="394">
        <f t="shared" si="27"/>
        <v>2.8985226989369339E-2</v>
      </c>
      <c r="U71" s="394">
        <f t="shared" si="32"/>
        <v>0.17797005131264343</v>
      </c>
      <c r="V71" s="395" t="str">
        <f t="shared" si="33"/>
        <v>No</v>
      </c>
      <c r="W71" s="396">
        <f t="shared" si="36"/>
        <v>0</v>
      </c>
      <c r="X71" s="394">
        <f>SUM($W$4:W71)/COUNT($W$4:W71)</f>
        <v>0.5</v>
      </c>
      <c r="Z71" s="464">
        <v>1838.02</v>
      </c>
      <c r="AA71" s="465">
        <f t="shared" si="28"/>
        <v>4.5981721127690278E-2</v>
      </c>
      <c r="AB71" s="465">
        <f t="shared" si="29"/>
        <v>0.22299850952837219</v>
      </c>
    </row>
    <row r="72" spans="1:28" x14ac:dyDescent="0.15">
      <c r="A72" s="384">
        <f t="shared" si="34"/>
        <v>70</v>
      </c>
      <c r="B72" s="401">
        <f t="shared" si="24"/>
        <v>38226</v>
      </c>
      <c r="C72" s="372"/>
      <c r="D72" s="390">
        <v>28262.67</v>
      </c>
      <c r="E72" s="387">
        <f>D72+SUM(Holdings_Old!$E$32:$E$33)</f>
        <v>28262.67</v>
      </c>
      <c r="F72" s="387">
        <f t="shared" si="25"/>
        <v>256.75</v>
      </c>
      <c r="G72" s="388">
        <f t="shared" si="21"/>
        <v>9.1677045424680692E-3</v>
      </c>
      <c r="H72" s="387">
        <f t="shared" si="22"/>
        <v>5406.82</v>
      </c>
      <c r="I72" s="388">
        <f t="shared" si="23"/>
        <v>0.23656175552429692</v>
      </c>
      <c r="J72" s="375">
        <f t="shared" si="19"/>
        <v>-7.7874103532622363E-2</v>
      </c>
      <c r="K72" s="372"/>
      <c r="L72" s="369">
        <v>1107.77</v>
      </c>
      <c r="M72" s="394">
        <f t="shared" si="26"/>
        <v>8.5765011153093873E-3</v>
      </c>
      <c r="N72" s="394">
        <f t="shared" si="30"/>
        <v>0.19104808188542921</v>
      </c>
      <c r="O72" s="395" t="str">
        <f t="shared" si="31"/>
        <v>Yes</v>
      </c>
      <c r="P72" s="396">
        <f t="shared" si="35"/>
        <v>1</v>
      </c>
      <c r="Q72" s="394">
        <f>SUM($P$4:P72)/COUNT($P$4:P72)</f>
        <v>0.56521739130434778</v>
      </c>
      <c r="R72" s="375">
        <f t="shared" si="20"/>
        <v>-6.4051674364895561E-4</v>
      </c>
      <c r="S72" s="369">
        <v>10195.01</v>
      </c>
      <c r="T72" s="394">
        <f t="shared" si="27"/>
        <v>8.3945425088081116E-3</v>
      </c>
      <c r="U72" s="394">
        <f t="shared" si="32"/>
        <v>0.18785857098249026</v>
      </c>
      <c r="V72" s="395" t="str">
        <f t="shared" si="33"/>
        <v>Yes</v>
      </c>
      <c r="W72" s="396">
        <f t="shared" si="36"/>
        <v>1</v>
      </c>
      <c r="X72" s="394">
        <f>SUM($W$4:W72)/COUNT($W$4:W72)</f>
        <v>0.50724637681159424</v>
      </c>
      <c r="Z72" s="464">
        <v>1862.09</v>
      </c>
      <c r="AA72" s="465">
        <f t="shared" si="28"/>
        <v>1.3095613758283386E-2</v>
      </c>
      <c r="AB72" s="465">
        <f t="shared" si="29"/>
        <v>0.23901442563611175</v>
      </c>
    </row>
    <row r="73" spans="1:28" x14ac:dyDescent="0.15">
      <c r="A73" s="384">
        <f t="shared" si="34"/>
        <v>71</v>
      </c>
      <c r="B73" s="401">
        <f t="shared" si="24"/>
        <v>38233</v>
      </c>
      <c r="C73" s="372"/>
      <c r="D73" s="390">
        <v>28172.82</v>
      </c>
      <c r="E73" s="387">
        <f>D73+SUM(Holdings_Old!$E$32:$E$33)</f>
        <v>28172.82</v>
      </c>
      <c r="F73" s="387">
        <f t="shared" si="25"/>
        <v>-89.849999999998545</v>
      </c>
      <c r="G73" s="388">
        <f t="shared" ref="G73:G104" si="37">(E73/E72)-1</f>
        <v>-3.179105158854334E-3</v>
      </c>
      <c r="H73" s="387">
        <f t="shared" si="22"/>
        <v>5316.9700000000012</v>
      </c>
      <c r="I73" s="388">
        <f t="shared" si="23"/>
        <v>0.23263059566806743</v>
      </c>
      <c r="J73" s="375">
        <f t="shared" si="19"/>
        <v>-8.0805638727195039E-2</v>
      </c>
      <c r="K73" s="372"/>
      <c r="L73" s="369">
        <v>1113.6300000000001</v>
      </c>
      <c r="M73" s="394">
        <f t="shared" si="26"/>
        <v>5.2899067495961738E-3</v>
      </c>
      <c r="N73" s="394">
        <f t="shared" si="30"/>
        <v>0.19734861517288849</v>
      </c>
      <c r="O73" s="395" t="str">
        <f t="shared" si="31"/>
        <v>No</v>
      </c>
      <c r="P73" s="396">
        <f t="shared" si="35"/>
        <v>0</v>
      </c>
      <c r="Q73" s="394">
        <f>SUM($P$4:P73)/COUNT($P$4:P73)</f>
        <v>0.55714285714285716</v>
      </c>
      <c r="R73" s="375">
        <f t="shared" si="20"/>
        <v>4.6460017321017233E-3</v>
      </c>
      <c r="S73" s="369">
        <v>10260.200000000001</v>
      </c>
      <c r="T73" s="394">
        <f t="shared" si="27"/>
        <v>6.3943046647330082E-3</v>
      </c>
      <c r="U73" s="394">
        <f t="shared" si="32"/>
        <v>0.19545410058396673</v>
      </c>
      <c r="V73" s="395" t="str">
        <f t="shared" si="33"/>
        <v>No</v>
      </c>
      <c r="W73" s="396">
        <f t="shared" si="36"/>
        <v>0</v>
      </c>
      <c r="X73" s="394">
        <f>SUM($W$4:W73)/COUNT($W$4:W73)</f>
        <v>0.5</v>
      </c>
      <c r="Z73" s="464">
        <v>1844.48</v>
      </c>
      <c r="AA73" s="465">
        <f t="shared" si="28"/>
        <v>-9.4571153918445727E-3</v>
      </c>
      <c r="AB73" s="465">
        <f t="shared" si="29"/>
        <v>0.22729692324071116</v>
      </c>
    </row>
    <row r="74" spans="1:28" x14ac:dyDescent="0.15">
      <c r="A74" s="384">
        <f t="shared" si="34"/>
        <v>72</v>
      </c>
      <c r="B74" s="401">
        <f t="shared" si="24"/>
        <v>38240</v>
      </c>
      <c r="C74" s="372"/>
      <c r="D74" s="390">
        <v>28365.95</v>
      </c>
      <c r="E74" s="387">
        <f>D74+SUM(Holdings_Old!$E$32:$E$33)</f>
        <v>28365.95</v>
      </c>
      <c r="F74" s="387">
        <f t="shared" ref="F74:F105" si="38">E74-E73</f>
        <v>193.13000000000102</v>
      </c>
      <c r="G74" s="388">
        <f t="shared" si="37"/>
        <v>6.8551887954417801E-3</v>
      </c>
      <c r="H74" s="387">
        <f t="shared" si="22"/>
        <v>5510.1000000000022</v>
      </c>
      <c r="I74" s="388">
        <f t="shared" si="23"/>
        <v>0.24108051111641005</v>
      </c>
      <c r="J74" s="375">
        <f t="shared" si="19"/>
        <v>-7.4504387840964359E-2</v>
      </c>
      <c r="K74" s="372"/>
      <c r="L74" s="369">
        <v>1123.92</v>
      </c>
      <c r="M74" s="394">
        <f t="shared" si="26"/>
        <v>9.2400528003016014E-3</v>
      </c>
      <c r="N74" s="394">
        <f t="shared" si="30"/>
        <v>0.20841217959745406</v>
      </c>
      <c r="O74" s="395" t="str">
        <f t="shared" si="31"/>
        <v>No</v>
      </c>
      <c r="P74" s="396">
        <f t="shared" si="35"/>
        <v>0</v>
      </c>
      <c r="Q74" s="394">
        <f>SUM($P$4:P74)/COUNT($P$4:P74)</f>
        <v>0.54929577464788737</v>
      </c>
      <c r="R74" s="375">
        <f t="shared" si="20"/>
        <v>1.3928983833718211E-2</v>
      </c>
      <c r="S74" s="369">
        <v>10313.07</v>
      </c>
      <c r="T74" s="394">
        <f t="shared" si="27"/>
        <v>5.1529209956919786E-3</v>
      </c>
      <c r="U74" s="394">
        <f t="shared" si="32"/>
        <v>0.20161418111825213</v>
      </c>
      <c r="V74" s="395" t="str">
        <f t="shared" si="33"/>
        <v>Yes</v>
      </c>
      <c r="W74" s="396">
        <f t="shared" si="36"/>
        <v>1</v>
      </c>
      <c r="X74" s="394">
        <f>SUM($W$4:W74)/COUNT($W$4:W74)</f>
        <v>0.50704225352112675</v>
      </c>
      <c r="Z74" s="464">
        <v>1894.31</v>
      </c>
      <c r="AA74" s="465">
        <f t="shared" si="28"/>
        <v>2.7015744274809128E-2</v>
      </c>
      <c r="AB74" s="465">
        <f t="shared" si="29"/>
        <v>0.26045326306824212</v>
      </c>
    </row>
    <row r="75" spans="1:28" x14ac:dyDescent="0.15">
      <c r="A75" s="384">
        <f t="shared" si="34"/>
        <v>73</v>
      </c>
      <c r="B75" s="401">
        <f t="shared" si="24"/>
        <v>38247</v>
      </c>
      <c r="C75" s="372"/>
      <c r="D75" s="390">
        <v>28529.49</v>
      </c>
      <c r="E75" s="387">
        <f>D75+SUM(Holdings_Old!$E$32:$E$33)</f>
        <v>28529.49</v>
      </c>
      <c r="F75" s="387">
        <f t="shared" si="38"/>
        <v>163.54000000000087</v>
      </c>
      <c r="G75" s="388">
        <f t="shared" si="37"/>
        <v>5.7653630497127573E-3</v>
      </c>
      <c r="H75" s="387">
        <f t="shared" si="22"/>
        <v>5673.6400000000031</v>
      </c>
      <c r="I75" s="388">
        <f t="shared" si="23"/>
        <v>0.24823579083691927</v>
      </c>
      <c r="J75" s="375">
        <f t="shared" si="19"/>
        <v>-6.9168569635951305E-2</v>
      </c>
      <c r="K75" s="372"/>
      <c r="L75" s="369">
        <v>1128.55</v>
      </c>
      <c r="M75" s="394">
        <f t="shared" si="26"/>
        <v>4.1195102854294507E-3</v>
      </c>
      <c r="N75" s="394">
        <f t="shared" si="30"/>
        <v>0.21339024600034406</v>
      </c>
      <c r="O75" s="395" t="str">
        <f t="shared" si="31"/>
        <v>Yes</v>
      </c>
      <c r="P75" s="396">
        <f t="shared" si="35"/>
        <v>1</v>
      </c>
      <c r="Q75" s="394">
        <f>SUM($P$4:P75)/COUNT($P$4:P75)</f>
        <v>0.55555555555555558</v>
      </c>
      <c r="R75" s="375">
        <f t="shared" si="20"/>
        <v>1.8105874711316305E-2</v>
      </c>
      <c r="S75" s="369">
        <v>10284.459999999999</v>
      </c>
      <c r="T75" s="394">
        <f t="shared" si="27"/>
        <v>-2.7741496954835076E-3</v>
      </c>
      <c r="U75" s="394">
        <f t="shared" si="32"/>
        <v>0.19828072350361414</v>
      </c>
      <c r="V75" s="395" t="str">
        <f t="shared" si="33"/>
        <v>Yes</v>
      </c>
      <c r="W75" s="396">
        <f t="shared" si="36"/>
        <v>1</v>
      </c>
      <c r="X75" s="394">
        <f>SUM($W$4:W75)/COUNT($W$4:W75)</f>
        <v>0.51388888888888884</v>
      </c>
      <c r="Z75" s="464">
        <v>1910.09</v>
      </c>
      <c r="AA75" s="465">
        <f t="shared" si="28"/>
        <v>8.3302099445179412E-3</v>
      </c>
      <c r="AB75" s="465">
        <f t="shared" si="29"/>
        <v>0.27095310337485357</v>
      </c>
    </row>
    <row r="76" spans="1:28" x14ac:dyDescent="0.15">
      <c r="A76" s="384">
        <f t="shared" si="34"/>
        <v>74</v>
      </c>
      <c r="B76" s="401">
        <f t="shared" si="24"/>
        <v>38254</v>
      </c>
      <c r="C76" s="372"/>
      <c r="D76" s="390">
        <v>27872.35</v>
      </c>
      <c r="E76" s="387">
        <f>D76+SUM(Holdings_Old!$E$32:$E$34)</f>
        <v>27872.35</v>
      </c>
      <c r="F76" s="387">
        <f t="shared" si="38"/>
        <v>-657.14000000000306</v>
      </c>
      <c r="G76" s="388">
        <f t="shared" si="37"/>
        <v>-2.3033710031269528E-2</v>
      </c>
      <c r="H76" s="387">
        <f t="shared" si="22"/>
        <v>5016.5</v>
      </c>
      <c r="I76" s="388">
        <f t="shared" si="23"/>
        <v>0.21948428958012944</v>
      </c>
      <c r="J76" s="375">
        <f t="shared" si="19"/>
        <v>-9.0609070890948606E-2</v>
      </c>
      <c r="K76" s="372"/>
      <c r="L76" s="369">
        <v>1110.1099999999999</v>
      </c>
      <c r="M76" s="394">
        <f t="shared" si="26"/>
        <v>-1.6339550750963716E-2</v>
      </c>
      <c r="N76" s="394">
        <f t="shared" si="30"/>
        <v>0.19356399449509709</v>
      </c>
      <c r="O76" s="395" t="str">
        <f t="shared" si="31"/>
        <v>No</v>
      </c>
      <c r="P76" s="396">
        <f t="shared" si="35"/>
        <v>0</v>
      </c>
      <c r="Q76" s="394">
        <f>SUM($P$4:P76)/COUNT($P$4:P76)</f>
        <v>0.54794520547945202</v>
      </c>
      <c r="R76" s="375">
        <f t="shared" si="20"/>
        <v>1.4704821016164882E-3</v>
      </c>
      <c r="S76" s="369">
        <v>10047.24</v>
      </c>
      <c r="T76" s="394">
        <f t="shared" si="27"/>
        <v>-2.3065868310052196E-2</v>
      </c>
      <c r="U76" s="394">
        <f t="shared" si="32"/>
        <v>0.17064133813680571</v>
      </c>
      <c r="V76" s="395" t="str">
        <f t="shared" si="33"/>
        <v>Yes</v>
      </c>
      <c r="W76" s="396">
        <f t="shared" si="36"/>
        <v>1</v>
      </c>
      <c r="X76" s="394">
        <f>SUM($W$4:W76)/COUNT($W$4:W76)</f>
        <v>0.52054794520547942</v>
      </c>
      <c r="Z76" s="464">
        <v>1879.48</v>
      </c>
      <c r="AA76" s="465">
        <f t="shared" si="28"/>
        <v>-1.602542288583253E-2</v>
      </c>
      <c r="AB76" s="465">
        <f t="shared" si="29"/>
        <v>0.25058554242521014</v>
      </c>
    </row>
    <row r="77" spans="1:28" x14ac:dyDescent="0.15">
      <c r="A77" s="384">
        <f t="shared" si="34"/>
        <v>75</v>
      </c>
      <c r="B77" s="401">
        <f t="shared" si="24"/>
        <v>38261</v>
      </c>
      <c r="C77" s="372"/>
      <c r="D77" s="390">
        <v>28443.17</v>
      </c>
      <c r="E77" s="387">
        <f>D77+SUM(Holdings_Old!$E$32:$E$34)</f>
        <v>28443.17</v>
      </c>
      <c r="F77" s="387">
        <f t="shared" si="38"/>
        <v>570.81999999999971</v>
      </c>
      <c r="G77" s="388">
        <f t="shared" si="37"/>
        <v>2.0479794491673697E-2</v>
      </c>
      <c r="H77" s="387">
        <f t="shared" si="22"/>
        <v>5587.32</v>
      </c>
      <c r="I77" s="388">
        <f t="shared" si="23"/>
        <v>0.24445907721655513</v>
      </c>
      <c r="J77" s="375">
        <f t="shared" si="19"/>
        <v>-7.1984931550203135E-2</v>
      </c>
      <c r="K77" s="372"/>
      <c r="L77" s="369">
        <v>1131.5</v>
      </c>
      <c r="M77" s="394">
        <f t="shared" si="26"/>
        <v>1.926836079307459E-2</v>
      </c>
      <c r="N77" s="394">
        <f t="shared" si="30"/>
        <v>0.21656201617065185</v>
      </c>
      <c r="O77" s="395" t="str">
        <f t="shared" si="31"/>
        <v>Yes</v>
      </c>
      <c r="P77" s="396">
        <f t="shared" si="35"/>
        <v>1</v>
      </c>
      <c r="Q77" s="394">
        <f>SUM($P$4:P77)/COUNT($P$4:P77)</f>
        <v>0.55405405405405406</v>
      </c>
      <c r="R77" s="375">
        <f t="shared" si="20"/>
        <v>2.0767176674364896E-2</v>
      </c>
      <c r="S77" s="369">
        <v>10192.65</v>
      </c>
      <c r="T77" s="394">
        <f t="shared" si="27"/>
        <v>1.447263128978693E-2</v>
      </c>
      <c r="U77" s="394">
        <f t="shared" si="32"/>
        <v>0.18758359859624263</v>
      </c>
      <c r="V77" s="395" t="str">
        <f t="shared" si="33"/>
        <v>Yes</v>
      </c>
      <c r="W77" s="396">
        <f t="shared" si="36"/>
        <v>1</v>
      </c>
      <c r="X77" s="394">
        <f>SUM($W$4:W77)/COUNT($W$4:W77)</f>
        <v>0.52702702702702697</v>
      </c>
      <c r="Z77" s="464">
        <v>1942.2</v>
      </c>
      <c r="AA77" s="465">
        <f t="shared" si="28"/>
        <v>3.3370932385553553E-2</v>
      </c>
      <c r="AB77" s="465">
        <f t="shared" si="29"/>
        <v>0.29231874800383251</v>
      </c>
    </row>
    <row r="78" spans="1:28" x14ac:dyDescent="0.15">
      <c r="A78" s="384">
        <f t="shared" si="34"/>
        <v>76</v>
      </c>
      <c r="B78" s="401">
        <f t="shared" si="24"/>
        <v>38268</v>
      </c>
      <c r="C78" s="372"/>
      <c r="D78" s="390">
        <v>28277.119999999999</v>
      </c>
      <c r="E78" s="387">
        <f>D78+SUM(Holdings_Old!$E$32:$E$34)</f>
        <v>28277.119999999999</v>
      </c>
      <c r="F78" s="387">
        <f t="shared" si="38"/>
        <v>-166.04999999999927</v>
      </c>
      <c r="G78" s="388">
        <f t="shared" si="37"/>
        <v>-5.8379568803336168E-3</v>
      </c>
      <c r="H78" s="387">
        <f t="shared" si="22"/>
        <v>5421.27</v>
      </c>
      <c r="I78" s="388">
        <f t="shared" si="23"/>
        <v>0.23719397878442505</v>
      </c>
      <c r="J78" s="375">
        <f t="shared" si="19"/>
        <v>-7.7402643504112856E-2</v>
      </c>
      <c r="K78" s="372"/>
      <c r="L78" s="369">
        <v>1122.1400000000001</v>
      </c>
      <c r="M78" s="394">
        <f t="shared" si="26"/>
        <v>-8.2722050375606537E-3</v>
      </c>
      <c r="N78" s="394">
        <f t="shared" si="30"/>
        <v>0.2064983657319801</v>
      </c>
      <c r="O78" s="395" t="str">
        <f t="shared" si="31"/>
        <v>Yes</v>
      </c>
      <c r="P78" s="396">
        <f t="shared" si="35"/>
        <v>1</v>
      </c>
      <c r="Q78" s="394">
        <f>SUM($P$4:P78)/COUNT($P$4:P78)</f>
        <v>0.56000000000000005</v>
      </c>
      <c r="R78" s="375">
        <f t="shared" si="20"/>
        <v>1.2323181293302676E-2</v>
      </c>
      <c r="S78" s="369">
        <v>10055.200000000001</v>
      </c>
      <c r="T78" s="394">
        <f t="shared" si="27"/>
        <v>-1.3485207477937466E-2</v>
      </c>
      <c r="U78" s="394">
        <f t="shared" si="32"/>
        <v>0.17156878737177661</v>
      </c>
      <c r="V78" s="395" t="str">
        <f t="shared" si="33"/>
        <v>Yes</v>
      </c>
      <c r="W78" s="396">
        <f t="shared" si="36"/>
        <v>1</v>
      </c>
      <c r="X78" s="394">
        <f>SUM($W$4:W78)/COUNT($W$4:W78)</f>
        <v>0.53333333333333333</v>
      </c>
      <c r="Z78" s="464">
        <v>1919.97</v>
      </c>
      <c r="AA78" s="465">
        <f t="shared" si="28"/>
        <v>-1.1445783132530085E-2</v>
      </c>
      <c r="AB78" s="465">
        <f t="shared" si="29"/>
        <v>0.27752714787607791</v>
      </c>
    </row>
    <row r="79" spans="1:28" x14ac:dyDescent="0.15">
      <c r="A79" s="384">
        <f t="shared" si="34"/>
        <v>77</v>
      </c>
      <c r="B79" s="401">
        <f t="shared" si="24"/>
        <v>38275</v>
      </c>
      <c r="C79" s="372"/>
      <c r="D79" s="390">
        <v>28337.96</v>
      </c>
      <c r="E79" s="387">
        <f>D79+SUM(Holdings_Old!$E$32:$E$34)</f>
        <v>28337.96</v>
      </c>
      <c r="F79" s="387">
        <f t="shared" si="38"/>
        <v>60.840000000000146</v>
      </c>
      <c r="G79" s="388">
        <f t="shared" si="37"/>
        <v>2.1515628182784408E-3</v>
      </c>
      <c r="H79" s="387">
        <f t="shared" si="22"/>
        <v>5482.1100000000006</v>
      </c>
      <c r="I79" s="388">
        <f t="shared" si="23"/>
        <v>0.23985587934817576</v>
      </c>
      <c r="J79" s="375">
        <f t="shared" si="19"/>
        <v>-7.5417617335634235E-2</v>
      </c>
      <c r="K79" s="372"/>
      <c r="L79" s="369">
        <v>1108.2</v>
      </c>
      <c r="M79" s="394">
        <f t="shared" si="26"/>
        <v>-1.2422692355677611E-2</v>
      </c>
      <c r="N79" s="394">
        <f t="shared" si="30"/>
        <v>0.19151040770686389</v>
      </c>
      <c r="O79" s="395" t="str">
        <f t="shared" si="31"/>
        <v>Yes</v>
      </c>
      <c r="P79" s="396">
        <f t="shared" si="35"/>
        <v>1</v>
      </c>
      <c r="Q79" s="394">
        <f>SUM($P$4:P79)/COUNT($P$4:P79)</f>
        <v>0.56578947368421051</v>
      </c>
      <c r="R79" s="375">
        <f t="shared" si="20"/>
        <v>-2.5259815242495431E-4</v>
      </c>
      <c r="S79" s="369">
        <v>9933.3799999999992</v>
      </c>
      <c r="T79" s="394">
        <f t="shared" si="27"/>
        <v>-1.2115124512690145E-2</v>
      </c>
      <c r="U79" s="394">
        <f t="shared" si="32"/>
        <v>0.15737508563758618</v>
      </c>
      <c r="V79" s="395" t="str">
        <f t="shared" si="33"/>
        <v>Yes</v>
      </c>
      <c r="W79" s="396">
        <f t="shared" si="36"/>
        <v>1</v>
      </c>
      <c r="X79" s="394">
        <f>SUM($W$4:W79)/COUNT($W$4:W79)</f>
        <v>0.53947368421052633</v>
      </c>
      <c r="Z79" s="464">
        <v>1911.5</v>
      </c>
      <c r="AA79" s="465">
        <f t="shared" si="28"/>
        <v>-4.4115272634468461E-3</v>
      </c>
      <c r="AB79" s="465">
        <f t="shared" si="29"/>
        <v>0.27189130203342904</v>
      </c>
    </row>
    <row r="80" spans="1:28" x14ac:dyDescent="0.15">
      <c r="A80" s="384">
        <f t="shared" si="34"/>
        <v>78</v>
      </c>
      <c r="B80" s="401">
        <f t="shared" si="24"/>
        <v>38282</v>
      </c>
      <c r="C80" s="372"/>
      <c r="D80" s="390">
        <v>28127.87</v>
      </c>
      <c r="E80" s="387">
        <f>D80+SUM(Holdings_Old!$E$32:$E$34)</f>
        <v>28127.87</v>
      </c>
      <c r="F80" s="387">
        <f t="shared" si="38"/>
        <v>-210.09000000000015</v>
      </c>
      <c r="G80" s="388">
        <f t="shared" si="37"/>
        <v>-7.4137305578806378E-3</v>
      </c>
      <c r="H80" s="387">
        <f t="shared" si="22"/>
        <v>5272.02</v>
      </c>
      <c r="I80" s="388">
        <f t="shared" si="23"/>
        <v>0.23066392192808416</v>
      </c>
      <c r="J80" s="375">
        <f t="shared" si="19"/>
        <v>-8.22722219992712E-2</v>
      </c>
      <c r="K80" s="372"/>
      <c r="L80" s="369">
        <v>1095.74</v>
      </c>
      <c r="M80" s="394">
        <f t="shared" ref="M80:M143" si="39">(L80/L79)-1</f>
        <v>-1.1243457859592132E-2</v>
      </c>
      <c r="N80" s="394">
        <f t="shared" si="30"/>
        <v>0.17811371064854642</v>
      </c>
      <c r="O80" s="395" t="str">
        <f t="shared" si="31"/>
        <v>Yes</v>
      </c>
      <c r="P80" s="396">
        <f t="shared" si="35"/>
        <v>1</v>
      </c>
      <c r="Q80" s="394">
        <f>SUM($P$4:P80)/COUNT($P$4:P80)</f>
        <v>0.5714285714285714</v>
      </c>
      <c r="R80" s="375">
        <f t="shared" si="20"/>
        <v>-1.1493215935334922E-2</v>
      </c>
      <c r="S80" s="369">
        <v>9757.81</v>
      </c>
      <c r="T80" s="394">
        <f t="shared" ref="T80:T143" si="40">(S80/S79)-1</f>
        <v>-1.7674749179030669E-2</v>
      </c>
      <c r="U80" s="394">
        <f t="shared" si="32"/>
        <v>0.13691877129288277</v>
      </c>
      <c r="V80" s="395" t="str">
        <f t="shared" si="33"/>
        <v>Yes</v>
      </c>
      <c r="W80" s="396">
        <f t="shared" si="36"/>
        <v>1</v>
      </c>
      <c r="X80" s="394">
        <f>SUM($W$4:W80)/COUNT($W$4:W80)</f>
        <v>0.54545454545454541</v>
      </c>
      <c r="Z80" s="464">
        <v>1915.14</v>
      </c>
      <c r="AA80" s="465">
        <f t="shared" ref="AA80:AA143" si="41">(Z80/Z79)-1</f>
        <v>1.9042636672770286E-3</v>
      </c>
      <c r="AB80" s="465">
        <f t="shared" ref="AB80:AB143" si="42">(Z80/$Z$3)-1</f>
        <v>0.27431331842861706</v>
      </c>
    </row>
    <row r="81" spans="1:28" x14ac:dyDescent="0.15">
      <c r="A81" s="384">
        <f t="shared" si="34"/>
        <v>79</v>
      </c>
      <c r="B81" s="401">
        <f t="shared" si="24"/>
        <v>38289</v>
      </c>
      <c r="C81" s="372"/>
      <c r="D81" s="390">
        <v>28846.86</v>
      </c>
      <c r="E81" s="387">
        <f>D81+SUM(Holdings_Old!$E$32:$E$34)</f>
        <v>28846.86</v>
      </c>
      <c r="F81" s="387">
        <f t="shared" si="38"/>
        <v>718.9900000000016</v>
      </c>
      <c r="G81" s="388">
        <f t="shared" si="37"/>
        <v>2.5561480481814058E-2</v>
      </c>
      <c r="H81" s="387">
        <f t="shared" si="22"/>
        <v>5991.010000000002</v>
      </c>
      <c r="I81" s="388">
        <f t="shared" si="23"/>
        <v>0.26212151374812143</v>
      </c>
      <c r="J81" s="375">
        <f t="shared" si="19"/>
        <v>-5.8813741314287071E-2</v>
      </c>
      <c r="K81" s="372"/>
      <c r="L81" s="369">
        <v>1130.2</v>
      </c>
      <c r="M81" s="394">
        <f t="shared" si="39"/>
        <v>3.144906638436118E-2</v>
      </c>
      <c r="N81" s="394">
        <f t="shared" si="30"/>
        <v>0.21516428694305856</v>
      </c>
      <c r="O81" s="395" t="str">
        <f t="shared" si="31"/>
        <v>No</v>
      </c>
      <c r="P81" s="396">
        <f t="shared" si="35"/>
        <v>0</v>
      </c>
      <c r="Q81" s="394">
        <f>SUM($P$4:P81)/COUNT($P$4:P81)</f>
        <v>0.5641025641025641</v>
      </c>
      <c r="R81" s="375">
        <f t="shared" si="20"/>
        <v>1.9594399538106266E-2</v>
      </c>
      <c r="S81" s="369">
        <v>10027.469999999999</v>
      </c>
      <c r="T81" s="394">
        <f t="shared" si="40"/>
        <v>2.7635299314087813E-2</v>
      </c>
      <c r="U81" s="394">
        <f t="shared" si="32"/>
        <v>0.16833786183336663</v>
      </c>
      <c r="V81" s="395" t="str">
        <f t="shared" si="33"/>
        <v>No</v>
      </c>
      <c r="W81" s="396">
        <f t="shared" si="36"/>
        <v>0</v>
      </c>
      <c r="X81" s="394">
        <f>SUM($W$4:W81)/COUNT($W$4:W81)</f>
        <v>0.53846153846153844</v>
      </c>
      <c r="Z81" s="464">
        <v>1974.99</v>
      </c>
      <c r="AA81" s="465">
        <f t="shared" si="41"/>
        <v>3.1250979040696736E-2</v>
      </c>
      <c r="AB81" s="465">
        <f t="shared" si="42"/>
        <v>0.31413685723411033</v>
      </c>
    </row>
    <row r="82" spans="1:28" x14ac:dyDescent="0.15">
      <c r="A82" s="384">
        <f t="shared" si="34"/>
        <v>80</v>
      </c>
      <c r="B82" s="401">
        <f t="shared" si="24"/>
        <v>38296</v>
      </c>
      <c r="C82" s="372"/>
      <c r="D82" s="390">
        <v>29611.48</v>
      </c>
      <c r="E82" s="387">
        <f>D82+SUM(Holdings_Old!$E$32:$E$34)</f>
        <v>29611.48</v>
      </c>
      <c r="F82" s="387">
        <f t="shared" si="38"/>
        <v>764.61999999999898</v>
      </c>
      <c r="G82" s="388">
        <f t="shared" si="37"/>
        <v>2.6506177795434294E-2</v>
      </c>
      <c r="H82" s="387">
        <f t="shared" si="22"/>
        <v>6755.630000000001</v>
      </c>
      <c r="I82" s="388">
        <f t="shared" si="23"/>
        <v>0.29557553099097178</v>
      </c>
      <c r="J82" s="375">
        <f t="shared" si="19"/>
        <v>-3.3866491002944032E-2</v>
      </c>
      <c r="K82" s="372"/>
      <c r="L82" s="369">
        <v>1166.17</v>
      </c>
      <c r="M82" s="394">
        <f t="shared" si="39"/>
        <v>3.1826225446823564E-2</v>
      </c>
      <c r="N82" s="394">
        <f t="shared" si="30"/>
        <v>0.25383837949423715</v>
      </c>
      <c r="O82" s="395" t="str">
        <f t="shared" si="31"/>
        <v>No</v>
      </c>
      <c r="P82" s="396">
        <f t="shared" si="35"/>
        <v>0</v>
      </c>
      <c r="Q82" s="394">
        <f>SUM($P$4:P82)/COUNT($P$4:P82)</f>
        <v>0.55696202531645567</v>
      </c>
      <c r="R82" s="375">
        <f t="shared" si="20"/>
        <v>5.2044240762124661E-2</v>
      </c>
      <c r="S82" s="369">
        <v>10387.540000000001</v>
      </c>
      <c r="T82" s="394">
        <f t="shared" si="40"/>
        <v>3.5908359735805861E-2</v>
      </c>
      <c r="U82" s="394">
        <f t="shared" si="32"/>
        <v>0.21029095806904152</v>
      </c>
      <c r="V82" s="395" t="str">
        <f t="shared" si="33"/>
        <v>No</v>
      </c>
      <c r="W82" s="396">
        <f t="shared" si="36"/>
        <v>0</v>
      </c>
      <c r="X82" s="394">
        <f>SUM($W$4:W82)/COUNT($W$4:W82)</f>
        <v>0.53164556962025311</v>
      </c>
      <c r="Z82" s="464">
        <v>2038.94</v>
      </c>
      <c r="AA82" s="465">
        <f t="shared" si="41"/>
        <v>3.2379910784358534E-2</v>
      </c>
      <c r="AB82" s="465">
        <f t="shared" si="42"/>
        <v>0.35668849142978809</v>
      </c>
    </row>
    <row r="83" spans="1:28" x14ac:dyDescent="0.15">
      <c r="A83" s="384">
        <f t="shared" si="34"/>
        <v>81</v>
      </c>
      <c r="B83" s="401">
        <f t="shared" si="24"/>
        <v>38303</v>
      </c>
      <c r="C83" s="372"/>
      <c r="D83" s="390">
        <v>29843.74</v>
      </c>
      <c r="E83" s="387">
        <f>D83+SUM(Holdings_Old!$E$32:$E$34)</f>
        <v>29843.74</v>
      </c>
      <c r="F83" s="387">
        <f t="shared" si="38"/>
        <v>232.26000000000204</v>
      </c>
      <c r="G83" s="388">
        <f t="shared" si="37"/>
        <v>7.8435795846747425E-3</v>
      </c>
      <c r="H83" s="387">
        <f t="shared" si="22"/>
        <v>6987.8900000000031</v>
      </c>
      <c r="I83" s="388">
        <f t="shared" si="23"/>
        <v>0.30573748077625651</v>
      </c>
      <c r="J83" s="375">
        <f t="shared" si="19"/>
        <v>-2.6288545935704621E-2</v>
      </c>
      <c r="K83" s="372"/>
      <c r="L83" s="369">
        <v>1184.17</v>
      </c>
      <c r="M83" s="394">
        <f t="shared" si="39"/>
        <v>1.5435142389188528E-2</v>
      </c>
      <c r="N83" s="394">
        <f t="shared" si="30"/>
        <v>0.27319155341475998</v>
      </c>
      <c r="O83" s="395" t="str">
        <f t="shared" si="31"/>
        <v>No</v>
      </c>
      <c r="P83" s="396">
        <f t="shared" si="35"/>
        <v>0</v>
      </c>
      <c r="Q83" s="394">
        <f>SUM($P$4:P83)/COUNT($P$4:P83)</f>
        <v>0.55000000000000004</v>
      </c>
      <c r="R83" s="375">
        <f t="shared" si="20"/>
        <v>6.8282693418013851E-2</v>
      </c>
      <c r="S83" s="369">
        <v>10539.01</v>
      </c>
      <c r="T83" s="394">
        <f t="shared" si="40"/>
        <v>1.4581893306788718E-2</v>
      </c>
      <c r="U83" s="394">
        <f t="shared" si="32"/>
        <v>0.22793929168977511</v>
      </c>
      <c r="V83" s="395" t="str">
        <f t="shared" si="33"/>
        <v>No</v>
      </c>
      <c r="W83" s="396">
        <f t="shared" si="36"/>
        <v>0</v>
      </c>
      <c r="X83" s="394">
        <f>SUM($W$4:W83)/COUNT($W$4:W83)</f>
        <v>0.52500000000000002</v>
      </c>
      <c r="Z83" s="464">
        <v>2085.34</v>
      </c>
      <c r="AA83" s="465">
        <f t="shared" si="41"/>
        <v>2.2756922714743943E-2</v>
      </c>
      <c r="AB83" s="465">
        <f t="shared" si="42"/>
        <v>0.38756254657723832</v>
      </c>
    </row>
    <row r="84" spans="1:28" x14ac:dyDescent="0.15">
      <c r="A84" s="384">
        <f t="shared" si="34"/>
        <v>82</v>
      </c>
      <c r="B84" s="401">
        <f t="shared" si="24"/>
        <v>38310</v>
      </c>
      <c r="C84" s="372"/>
      <c r="D84" s="390">
        <v>28915.95</v>
      </c>
      <c r="E84" s="387">
        <f>D84+SUM(Holdings_Old!$E$32:$E$34)</f>
        <v>28915.95</v>
      </c>
      <c r="F84" s="387">
        <f t="shared" si="38"/>
        <v>-927.79000000000087</v>
      </c>
      <c r="G84" s="388">
        <f t="shared" si="37"/>
        <v>-3.1088261725909727E-2</v>
      </c>
      <c r="H84" s="387">
        <f t="shared" si="22"/>
        <v>6060.1000000000022</v>
      </c>
      <c r="I84" s="388">
        <f t="shared" si="23"/>
        <v>0.26514437222855425</v>
      </c>
      <c r="K84" s="372"/>
      <c r="L84" s="369">
        <v>1170.3399999999999</v>
      </c>
      <c r="M84" s="394">
        <f t="shared" si="39"/>
        <v>-1.1679066350270828E-2</v>
      </c>
      <c r="N84" s="394">
        <f t="shared" si="30"/>
        <v>0.25832186478582475</v>
      </c>
      <c r="O84" s="395" t="str">
        <f t="shared" si="31"/>
        <v>No</v>
      </c>
      <c r="P84" s="396">
        <f t="shared" si="35"/>
        <v>0</v>
      </c>
      <c r="Q84" s="394">
        <f>SUM($P$4:P84)/COUNT($P$4:P84)</f>
        <v>0.54320987654320985</v>
      </c>
      <c r="R84" s="375">
        <f t="shared" si="20"/>
        <v>5.5806148960738877E-2</v>
      </c>
      <c r="S84" s="369">
        <v>10456.91</v>
      </c>
      <c r="T84" s="394">
        <f t="shared" si="40"/>
        <v>-7.7901055222454607E-3</v>
      </c>
      <c r="U84" s="394">
        <f t="shared" si="32"/>
        <v>0.2183735150326005</v>
      </c>
      <c r="V84" s="395" t="str">
        <f t="shared" si="33"/>
        <v>No</v>
      </c>
      <c r="W84" s="396">
        <f t="shared" si="36"/>
        <v>0</v>
      </c>
      <c r="X84" s="394">
        <f>SUM($W$4:W84)/COUNT($W$4:W84)</f>
        <v>0.51851851851851849</v>
      </c>
      <c r="Z84" s="464">
        <v>2070.63</v>
      </c>
      <c r="AA84" s="465">
        <f t="shared" si="41"/>
        <v>-7.0540055818235636E-3</v>
      </c>
      <c r="AB84" s="465">
        <f t="shared" si="42"/>
        <v>0.37777467262855313</v>
      </c>
    </row>
    <row r="85" spans="1:28" x14ac:dyDescent="0.15">
      <c r="A85" s="384">
        <f t="shared" si="34"/>
        <v>83</v>
      </c>
      <c r="B85" s="401">
        <f t="shared" si="24"/>
        <v>38317</v>
      </c>
      <c r="C85" s="372"/>
      <c r="D85" s="390">
        <v>29040</v>
      </c>
      <c r="E85" s="387">
        <f>D85+SUM(Holdings_Old!$E$32:$E$34)</f>
        <v>29040</v>
      </c>
      <c r="F85" s="387">
        <f t="shared" si="38"/>
        <v>124.04999999999927</v>
      </c>
      <c r="G85" s="388">
        <f t="shared" si="37"/>
        <v>4.2900198679274304E-3</v>
      </c>
      <c r="H85" s="387">
        <f t="shared" si="22"/>
        <v>6184.1500000000015</v>
      </c>
      <c r="I85" s="388">
        <f t="shared" si="23"/>
        <v>0.27057186672121158</v>
      </c>
      <c r="K85" s="372"/>
      <c r="L85" s="369">
        <v>1182.6500000000001</v>
      </c>
      <c r="M85" s="394">
        <f t="shared" si="39"/>
        <v>1.0518310918194773E-2</v>
      </c>
      <c r="N85" s="394">
        <f t="shared" si="30"/>
        <v>0.27155728539480473</v>
      </c>
      <c r="O85" s="395" t="str">
        <f t="shared" si="31"/>
        <v>No</v>
      </c>
      <c r="P85" s="396">
        <f t="shared" si="35"/>
        <v>0</v>
      </c>
      <c r="Q85" s="394">
        <f>SUM($P$4:P85)/COUNT($P$4:P85)</f>
        <v>0.53658536585365857</v>
      </c>
      <c r="R85" s="375">
        <f t="shared" si="20"/>
        <v>6.6911446304849909E-2</v>
      </c>
      <c r="S85" s="369">
        <v>10522.23</v>
      </c>
      <c r="T85" s="394">
        <f t="shared" si="40"/>
        <v>6.2465871849330945E-3</v>
      </c>
      <c r="U85" s="394">
        <f t="shared" si="32"/>
        <v>0.22598419141806514</v>
      </c>
      <c r="V85" s="395" t="str">
        <f t="shared" si="33"/>
        <v>No</v>
      </c>
      <c r="W85" s="396">
        <f t="shared" si="36"/>
        <v>0</v>
      </c>
      <c r="X85" s="394">
        <f>SUM($W$4:W85)/COUNT($W$4:W85)</f>
        <v>0.51219512195121952</v>
      </c>
      <c r="Z85" s="464">
        <v>2101.9699999999998</v>
      </c>
      <c r="AA85" s="465">
        <f t="shared" si="41"/>
        <v>1.5135490164828846E-2</v>
      </c>
      <c r="AB85" s="465">
        <f t="shared" si="42"/>
        <v>0.39862796763547292</v>
      </c>
    </row>
    <row r="86" spans="1:28" x14ac:dyDescent="0.15">
      <c r="A86" s="384">
        <f t="shared" si="34"/>
        <v>84</v>
      </c>
      <c r="B86" s="401">
        <f t="shared" si="24"/>
        <v>38324</v>
      </c>
      <c r="C86" s="372"/>
      <c r="D86" s="390">
        <v>29543.51</v>
      </c>
      <c r="E86" s="387">
        <f>D86+SUM(Holdings_Old!$E$32:$E$34)</f>
        <v>29543.51</v>
      </c>
      <c r="F86" s="387">
        <f t="shared" si="38"/>
        <v>503.5099999999984</v>
      </c>
      <c r="G86" s="388">
        <f t="shared" si="37"/>
        <v>1.7338498622589515E-2</v>
      </c>
      <c r="H86" s="387">
        <f t="shared" si="22"/>
        <v>6687.66</v>
      </c>
      <c r="I86" s="388">
        <f t="shared" si="23"/>
        <v>0.29260167528225822</v>
      </c>
      <c r="K86" s="372"/>
      <c r="L86" s="369">
        <v>1191.17</v>
      </c>
      <c r="M86" s="394">
        <f t="shared" si="39"/>
        <v>7.204160148818417E-3</v>
      </c>
      <c r="N86" s="394">
        <f t="shared" si="30"/>
        <v>0.28071778771718559</v>
      </c>
      <c r="O86" s="395" t="str">
        <f t="shared" si="31"/>
        <v>Yes</v>
      </c>
      <c r="P86" s="396">
        <f t="shared" si="35"/>
        <v>1</v>
      </c>
      <c r="Q86" s="394">
        <f>SUM($P$4:P86)/COUNT($P$4:P86)</f>
        <v>0.54216867469879515</v>
      </c>
      <c r="R86" s="375">
        <f t="shared" si="20"/>
        <v>7.4597647228637376E-2</v>
      </c>
      <c r="S86" s="369">
        <v>10592.21</v>
      </c>
      <c r="T86" s="394">
        <f>(S86/S85)-1</f>
        <v>6.6506814620095334E-3</v>
      </c>
      <c r="U86" s="394">
        <f t="shared" si="32"/>
        <v>0.23413782175264597</v>
      </c>
      <c r="V86" s="395" t="str">
        <f t="shared" si="33"/>
        <v>Yes</v>
      </c>
      <c r="W86" s="396">
        <f t="shared" si="36"/>
        <v>1</v>
      </c>
      <c r="X86" s="394">
        <f>SUM($W$4:W86)/COUNT($W$4:W86)</f>
        <v>0.51807228915662651</v>
      </c>
      <c r="Z86" s="464">
        <v>2147.96</v>
      </c>
      <c r="AA86" s="465">
        <f t="shared" si="41"/>
        <v>2.1879474968719892E-2</v>
      </c>
      <c r="AB86" s="465">
        <f t="shared" si="42"/>
        <v>0.42922921324390506</v>
      </c>
    </row>
    <row r="87" spans="1:28" x14ac:dyDescent="0.15">
      <c r="A87" s="384">
        <f t="shared" si="34"/>
        <v>85</v>
      </c>
      <c r="B87" s="401">
        <f t="shared" si="24"/>
        <v>38331</v>
      </c>
      <c r="C87" s="372"/>
      <c r="D87" s="390">
        <v>29497.24</v>
      </c>
      <c r="E87" s="387">
        <f>D87+SUM(Holdings_Old!$E$32:$E$34)</f>
        <v>29497.24</v>
      </c>
      <c r="F87" s="387">
        <f t="shared" si="38"/>
        <v>-46.269999999996799</v>
      </c>
      <c r="G87" s="388">
        <f t="shared" si="37"/>
        <v>-1.5661646161879705E-3</v>
      </c>
      <c r="H87" s="387">
        <f t="shared" si="22"/>
        <v>6641.3900000000031</v>
      </c>
      <c r="I87" s="388">
        <f t="shared" si="23"/>
        <v>0.29057724827560572</v>
      </c>
      <c r="K87" s="372"/>
      <c r="L87" s="369">
        <v>1188</v>
      </c>
      <c r="M87" s="394">
        <f t="shared" si="39"/>
        <v>-2.6612490240688347E-3</v>
      </c>
      <c r="N87" s="394">
        <f t="shared" si="30"/>
        <v>0.27730947875451561</v>
      </c>
      <c r="O87" s="395" t="str">
        <f t="shared" si="31"/>
        <v>Yes</v>
      </c>
      <c r="P87" s="396">
        <f t="shared" si="35"/>
        <v>1</v>
      </c>
      <c r="Q87" s="394">
        <f>SUM($P$4:P87)/COUNT($P$4:P87)</f>
        <v>0.54761904761904767</v>
      </c>
      <c r="S87" s="369">
        <v>10543.22</v>
      </c>
      <c r="T87" s="394">
        <f>(S87/S86)-1</f>
        <v>-4.6250971232631999E-3</v>
      </c>
      <c r="U87" s="394">
        <f t="shared" si="32"/>
        <v>0.22842981446354749</v>
      </c>
      <c r="V87" s="395" t="str">
        <f t="shared" si="33"/>
        <v>Yes</v>
      </c>
      <c r="W87" s="396">
        <f t="shared" si="36"/>
        <v>1</v>
      </c>
      <c r="X87" s="394">
        <f>SUM($W$4:W87)/COUNT($W$4:W87)</f>
        <v>0.52380952380952384</v>
      </c>
      <c r="Z87" s="464">
        <v>2128.0700000000002</v>
      </c>
      <c r="AA87" s="465">
        <f t="shared" si="41"/>
        <v>-9.2599489748411701E-3</v>
      </c>
      <c r="AB87" s="465">
        <f t="shared" si="42"/>
        <v>0.415994623655914</v>
      </c>
    </row>
    <row r="88" spans="1:28" x14ac:dyDescent="0.15">
      <c r="A88" s="384">
        <f t="shared" si="34"/>
        <v>86</v>
      </c>
      <c r="B88" s="401">
        <f t="shared" si="24"/>
        <v>38338</v>
      </c>
      <c r="C88" s="372"/>
      <c r="D88" s="390">
        <v>29715.39</v>
      </c>
      <c r="E88" s="387">
        <f>D88+SUM(Holdings_Old!$E$32:$E$34)</f>
        <v>29715.39</v>
      </c>
      <c r="F88" s="387">
        <f t="shared" si="38"/>
        <v>218.14999999999782</v>
      </c>
      <c r="G88" s="388">
        <f t="shared" si="37"/>
        <v>7.3956071822312008E-3</v>
      </c>
      <c r="H88" s="387">
        <f t="shared" si="22"/>
        <v>6859.5400000000009</v>
      </c>
      <c r="I88" s="388">
        <f t="shared" si="23"/>
        <v>0.300121850642177</v>
      </c>
      <c r="K88" s="372"/>
      <c r="L88" s="369">
        <v>1194.2</v>
      </c>
      <c r="M88" s="394">
        <f t="shared" si="39"/>
        <v>5.218855218855234E-3</v>
      </c>
      <c r="N88" s="394">
        <f t="shared" si="30"/>
        <v>0.28397557199380707</v>
      </c>
      <c r="O88" s="395" t="str">
        <f t="shared" si="31"/>
        <v>Yes</v>
      </c>
      <c r="P88" s="396">
        <f t="shared" si="35"/>
        <v>1</v>
      </c>
      <c r="Q88" s="394">
        <f>SUM($P$4:P88)/COUNT($P$4:P88)</f>
        <v>0.55294117647058827</v>
      </c>
      <c r="S88" s="369">
        <v>10649.92</v>
      </c>
      <c r="T88" s="394">
        <f>(S88/S87)-1</f>
        <v>1.0120247893907308E-2</v>
      </c>
      <c r="U88" s="394">
        <f t="shared" si="32"/>
        <v>0.240861828706185</v>
      </c>
      <c r="V88" s="395" t="str">
        <f t="shared" si="33"/>
        <v>No</v>
      </c>
      <c r="W88" s="396">
        <f t="shared" si="36"/>
        <v>0</v>
      </c>
      <c r="X88" s="394">
        <f>SUM($W$4:W88)/COUNT($W$4:W88)</f>
        <v>0.51764705882352946</v>
      </c>
      <c r="Z88" s="464">
        <v>2135.1999999999998</v>
      </c>
      <c r="AA88" s="465">
        <f t="shared" si="41"/>
        <v>3.350453697481548E-3</v>
      </c>
      <c r="AB88" s="465">
        <f t="shared" si="42"/>
        <v>0.42073884807835604</v>
      </c>
    </row>
    <row r="89" spans="1:28" x14ac:dyDescent="0.15">
      <c r="A89" s="384">
        <f t="shared" si="34"/>
        <v>87</v>
      </c>
      <c r="B89" s="401">
        <f t="shared" si="24"/>
        <v>38345</v>
      </c>
      <c r="C89" s="372"/>
      <c r="D89" s="390">
        <v>30168.52</v>
      </c>
      <c r="E89" s="387">
        <f>D89+SUM(Holdings_Old!$E$32:$E$34)</f>
        <v>30168.52</v>
      </c>
      <c r="F89" s="387">
        <f t="shared" si="38"/>
        <v>453.13000000000102</v>
      </c>
      <c r="G89" s="388">
        <f t="shared" si="37"/>
        <v>1.5249000602044926E-2</v>
      </c>
      <c r="H89" s="387">
        <f t="shared" si="22"/>
        <v>7312.6700000000019</v>
      </c>
      <c r="I89" s="388">
        <f t="shared" si="23"/>
        <v>0.31994740952535139</v>
      </c>
      <c r="K89" s="372"/>
      <c r="L89" s="369">
        <v>1210.1300000000001</v>
      </c>
      <c r="M89" s="394">
        <f t="shared" si="39"/>
        <v>1.3339474124937301E-2</v>
      </c>
      <c r="N89" s="394">
        <f t="shared" si="30"/>
        <v>0.30110313091346996</v>
      </c>
      <c r="O89" s="395" t="str">
        <f t="shared" si="31"/>
        <v>Yes</v>
      </c>
      <c r="P89" s="396">
        <f t="shared" si="35"/>
        <v>1</v>
      </c>
      <c r="Q89" s="394">
        <f>SUM($P$4:P89)/COUNT($P$4:P89)</f>
        <v>0.55813953488372092</v>
      </c>
      <c r="S89" s="369">
        <v>10827.12</v>
      </c>
      <c r="T89" s="394">
        <f>(S89/S88)-1</f>
        <v>1.6638622637541012E-2</v>
      </c>
      <c r="U89" s="394">
        <f t="shared" si="32"/>
        <v>0.26150806041935626</v>
      </c>
      <c r="V89" s="395" t="str">
        <f t="shared" si="33"/>
        <v>No</v>
      </c>
      <c r="W89" s="396">
        <f t="shared" si="36"/>
        <v>0</v>
      </c>
      <c r="X89" s="394">
        <f>SUM($W$4:W89)/COUNT($W$4:W89)</f>
        <v>0.51162790697674421</v>
      </c>
      <c r="Z89" s="464">
        <v>2160.62</v>
      </c>
      <c r="AA89" s="465">
        <f t="shared" si="41"/>
        <v>1.1905207943049945E-2</v>
      </c>
      <c r="AB89" s="465">
        <f t="shared" si="42"/>
        <v>0.43765303949749801</v>
      </c>
    </row>
    <row r="90" spans="1:28" x14ac:dyDescent="0.15">
      <c r="A90" s="384">
        <f t="shared" si="34"/>
        <v>88</v>
      </c>
      <c r="B90" s="401">
        <f t="shared" si="24"/>
        <v>38352</v>
      </c>
      <c r="C90" s="372"/>
      <c r="D90" s="390">
        <v>30139.25</v>
      </c>
      <c r="E90" s="387">
        <f>D90+SUM(Holdings_Old!$E$32:$E$34)</f>
        <v>30139.25</v>
      </c>
      <c r="F90" s="387">
        <f t="shared" si="38"/>
        <v>-29.270000000000437</v>
      </c>
      <c r="G90" s="388">
        <f t="shared" si="37"/>
        <v>-9.7021663641438938E-4</v>
      </c>
      <c r="H90" s="387">
        <f t="shared" si="22"/>
        <v>7283.4000000000015</v>
      </c>
      <c r="I90" s="388">
        <f t="shared" si="23"/>
        <v>0.31866677458943782</v>
      </c>
      <c r="K90" s="372"/>
      <c r="L90" s="369">
        <v>1211.92</v>
      </c>
      <c r="M90" s="394">
        <f t="shared" si="39"/>
        <v>1.4791799228182079E-3</v>
      </c>
      <c r="N90" s="394">
        <f t="shared" si="30"/>
        <v>0.30302769654223294</v>
      </c>
      <c r="O90" s="395" t="str">
        <f t="shared" si="31"/>
        <v>No</v>
      </c>
      <c r="P90" s="396">
        <f t="shared" si="35"/>
        <v>0</v>
      </c>
      <c r="Q90" s="394">
        <f>SUM($P$4:P90)/COUNT($P$4:P90)</f>
        <v>0.55172413793103448</v>
      </c>
      <c r="S90" s="369">
        <v>10783.01</v>
      </c>
      <c r="T90" s="394">
        <f t="shared" si="40"/>
        <v>-4.0740289199714397E-3</v>
      </c>
      <c r="U90" s="394">
        <f t="shared" si="32"/>
        <v>0.25636864009843086</v>
      </c>
      <c r="V90" s="395" t="str">
        <f t="shared" si="33"/>
        <v>Yes</v>
      </c>
      <c r="W90" s="396">
        <f t="shared" si="36"/>
        <v>1</v>
      </c>
      <c r="X90" s="394">
        <f>SUM($W$4:W90)/COUNT($W$4:W90)</f>
        <v>0.51724137931034486</v>
      </c>
      <c r="Z90" s="464">
        <v>2175.44</v>
      </c>
      <c r="AA90" s="465">
        <f t="shared" si="41"/>
        <v>6.859142283233588E-3</v>
      </c>
      <c r="AB90" s="465">
        <f t="shared" si="42"/>
        <v>0.44751410624933463</v>
      </c>
    </row>
    <row r="91" spans="1:28" x14ac:dyDescent="0.15">
      <c r="A91" s="384">
        <f t="shared" si="34"/>
        <v>89</v>
      </c>
      <c r="B91" s="401">
        <f t="shared" si="24"/>
        <v>38359</v>
      </c>
      <c r="C91" s="372"/>
      <c r="D91" s="390">
        <v>29517.05</v>
      </c>
      <c r="E91" s="387">
        <f>D91+SUM(Holdings_Old!$E$32:$E$34)</f>
        <v>29517.05</v>
      </c>
      <c r="F91" s="387">
        <f t="shared" si="38"/>
        <v>-622.20000000000073</v>
      </c>
      <c r="G91" s="388">
        <f t="shared" si="37"/>
        <v>-2.0644176613552112E-2</v>
      </c>
      <c r="H91" s="387">
        <f t="shared" si="22"/>
        <v>6661.2000000000007</v>
      </c>
      <c r="I91" s="388">
        <f t="shared" si="23"/>
        <v>0.29144398480039024</v>
      </c>
      <c r="K91" s="372"/>
      <c r="L91" s="369">
        <v>1186.19</v>
      </c>
      <c r="M91" s="394">
        <f t="shared" si="39"/>
        <v>-2.1230774308535261E-2</v>
      </c>
      <c r="N91" s="394">
        <f t="shared" si="30"/>
        <v>0.27536340959917416</v>
      </c>
      <c r="O91" s="395" t="str">
        <f t="shared" si="31"/>
        <v>Yes</v>
      </c>
      <c r="P91" s="396">
        <f t="shared" si="35"/>
        <v>1</v>
      </c>
      <c r="Q91" s="394">
        <f>SUM($P$4:P91)/COUNT($P$4:P91)</f>
        <v>0.55681818181818177</v>
      </c>
      <c r="S91" s="369">
        <v>10603.96</v>
      </c>
      <c r="T91" s="394">
        <f t="shared" si="40"/>
        <v>-1.6604825554274782E-2</v>
      </c>
      <c r="U91" s="394">
        <f t="shared" si="32"/>
        <v>0.23550685799773485</v>
      </c>
      <c r="V91" s="395" t="str">
        <f t="shared" si="33"/>
        <v>No</v>
      </c>
      <c r="W91" s="396">
        <f t="shared" si="36"/>
        <v>0</v>
      </c>
      <c r="X91" s="394">
        <f>SUM($W$4:W91)/COUNT($W$4:W91)</f>
        <v>0.51136363636363635</v>
      </c>
      <c r="Z91" s="464">
        <v>2088.61</v>
      </c>
      <c r="AA91" s="465">
        <f t="shared" si="41"/>
        <v>-3.9913764571764765E-2</v>
      </c>
      <c r="AB91" s="465">
        <f t="shared" si="42"/>
        <v>0.38973836899819014</v>
      </c>
    </row>
    <row r="92" spans="1:28" x14ac:dyDescent="0.15">
      <c r="A92" s="384">
        <f t="shared" si="34"/>
        <v>90</v>
      </c>
      <c r="B92" s="401">
        <f t="shared" si="24"/>
        <v>38366</v>
      </c>
      <c r="C92" s="372"/>
      <c r="D92" s="390">
        <v>29620.68</v>
      </c>
      <c r="E92" s="387">
        <f>D92+SUM(Holdings_Old!$E$32:$E$34)</f>
        <v>29620.68</v>
      </c>
      <c r="F92" s="387">
        <f t="shared" si="38"/>
        <v>103.63000000000102</v>
      </c>
      <c r="G92" s="388">
        <f t="shared" si="37"/>
        <v>3.5108522023712396E-3</v>
      </c>
      <c r="H92" s="387">
        <f t="shared" si="22"/>
        <v>6764.8300000000017</v>
      </c>
      <c r="I92" s="388">
        <f t="shared" si="23"/>
        <v>0.29597805375866582</v>
      </c>
      <c r="K92" s="372"/>
      <c r="L92" s="369">
        <v>1184.52</v>
      </c>
      <c r="M92" s="394">
        <f t="shared" si="39"/>
        <v>-1.4078688911557391E-3</v>
      </c>
      <c r="N92" s="394">
        <f t="shared" si="30"/>
        <v>0.27356786512988118</v>
      </c>
      <c r="O92" s="395" t="str">
        <f t="shared" si="31"/>
        <v>Yes</v>
      </c>
      <c r="P92" s="396">
        <f t="shared" si="35"/>
        <v>1</v>
      </c>
      <c r="Q92" s="394">
        <f>SUM($P$4:P92)/COUNT($P$4:P92)</f>
        <v>0.5617977528089888</v>
      </c>
      <c r="S92" s="369">
        <v>10558</v>
      </c>
      <c r="T92" s="394">
        <f t="shared" si="40"/>
        <v>-4.3342298537526469E-3</v>
      </c>
      <c r="U92" s="394">
        <f t="shared" si="32"/>
        <v>0.23015188728928493</v>
      </c>
      <c r="V92" s="395" t="str">
        <f t="shared" si="33"/>
        <v>Yes</v>
      </c>
      <c r="W92" s="396">
        <f t="shared" si="36"/>
        <v>1</v>
      </c>
      <c r="X92" s="394">
        <f>SUM($W$4:W92)/COUNT($W$4:W92)</f>
        <v>0.5168539325842697</v>
      </c>
      <c r="Z92" s="464">
        <v>2087.91</v>
      </c>
      <c r="AA92" s="465">
        <f t="shared" si="41"/>
        <v>-3.3515112922000156E-4</v>
      </c>
      <c r="AB92" s="465">
        <f t="shared" si="42"/>
        <v>0.38927259661449987</v>
      </c>
    </row>
    <row r="93" spans="1:28" x14ac:dyDescent="0.15">
      <c r="A93" s="384">
        <f t="shared" si="34"/>
        <v>91</v>
      </c>
      <c r="B93" s="401">
        <f t="shared" si="24"/>
        <v>38373</v>
      </c>
      <c r="C93" s="372"/>
      <c r="D93" s="390">
        <v>29153.360000000001</v>
      </c>
      <c r="E93" s="387">
        <f>D93+SUM(Holdings_Old!$E$32:$E$34)</f>
        <v>29153.360000000001</v>
      </c>
      <c r="F93" s="387">
        <f t="shared" si="38"/>
        <v>-467.31999999999971</v>
      </c>
      <c r="G93" s="388">
        <f t="shared" si="37"/>
        <v>-1.5776815387087639E-2</v>
      </c>
      <c r="H93" s="387">
        <f t="shared" si="22"/>
        <v>6297.510000000002</v>
      </c>
      <c r="I93" s="388">
        <f t="shared" si="23"/>
        <v>0.27553164725879808</v>
      </c>
      <c r="K93" s="372"/>
      <c r="L93" s="369">
        <v>1167.8699999999999</v>
      </c>
      <c r="M93" s="394">
        <f t="shared" si="39"/>
        <v>-1.4056326613311798E-2</v>
      </c>
      <c r="N93" s="394">
        <f t="shared" si="30"/>
        <v>0.25566617925339741</v>
      </c>
      <c r="O93" s="395" t="str">
        <f t="shared" si="31"/>
        <v>No</v>
      </c>
      <c r="P93" s="396">
        <f t="shared" si="35"/>
        <v>0</v>
      </c>
      <c r="Q93" s="394">
        <f>SUM($P$4:P93)/COUNT($P$4:P93)</f>
        <v>0.55555555555555558</v>
      </c>
      <c r="S93" s="369">
        <v>10392.99</v>
      </c>
      <c r="T93" s="394">
        <f t="shared" si="40"/>
        <v>-1.5628906989960223E-2</v>
      </c>
      <c r="U93" s="394">
        <f t="shared" si="32"/>
        <v>0.21092595785931656</v>
      </c>
      <c r="V93" s="395" t="str">
        <f t="shared" si="33"/>
        <v>No</v>
      </c>
      <c r="W93" s="396">
        <f t="shared" si="36"/>
        <v>0</v>
      </c>
      <c r="X93" s="394">
        <f>SUM($W$4:W93)/COUNT($W$4:W93)</f>
        <v>0.51111111111111107</v>
      </c>
      <c r="Z93" s="464">
        <v>2034.27</v>
      </c>
      <c r="AA93" s="465">
        <f t="shared" si="41"/>
        <v>-2.5690762532867728E-2</v>
      </c>
      <c r="AB93" s="465">
        <f t="shared" si="42"/>
        <v>0.35358112424145638</v>
      </c>
    </row>
    <row r="94" spans="1:28" x14ac:dyDescent="0.15">
      <c r="A94" s="384">
        <f t="shared" si="34"/>
        <v>92</v>
      </c>
      <c r="B94" s="401">
        <f t="shared" si="24"/>
        <v>38380</v>
      </c>
      <c r="C94" s="372"/>
      <c r="D94" s="390">
        <v>29468</v>
      </c>
      <c r="E94" s="387">
        <f>D94+SUM(Holdings_Old!$E$32:$E$34)</f>
        <v>29468</v>
      </c>
      <c r="F94" s="387">
        <f t="shared" si="38"/>
        <v>314.63999999999942</v>
      </c>
      <c r="G94" s="388">
        <f t="shared" si="37"/>
        <v>1.0792581026680903E-2</v>
      </c>
      <c r="H94" s="387">
        <f t="shared" si="22"/>
        <v>6612.1500000000015</v>
      </c>
      <c r="I94" s="388">
        <f t="shared" si="23"/>
        <v>0.28929792591393455</v>
      </c>
      <c r="K94" s="372"/>
      <c r="L94" s="369">
        <v>1171.3599999999999</v>
      </c>
      <c r="M94" s="394">
        <f t="shared" si="39"/>
        <v>2.9883463056676884E-3</v>
      </c>
      <c r="N94" s="394">
        <f t="shared" si="30"/>
        <v>0.25941854464132108</v>
      </c>
      <c r="O94" s="395" t="str">
        <f t="shared" si="31"/>
        <v>Yes</v>
      </c>
      <c r="P94" s="396">
        <f t="shared" si="35"/>
        <v>1</v>
      </c>
      <c r="Q94" s="394">
        <f>SUM($P$4:P94)/COUNT($P$4:P94)</f>
        <v>0.56043956043956045</v>
      </c>
      <c r="S94" s="369">
        <v>10427.200000000001</v>
      </c>
      <c r="T94" s="394">
        <f t="shared" si="40"/>
        <v>3.2916417700779022E-3</v>
      </c>
      <c r="U94" s="394">
        <f t="shared" si="32"/>
        <v>0.21491189232267782</v>
      </c>
      <c r="V94" s="395" t="str">
        <f t="shared" si="33"/>
        <v>Yes</v>
      </c>
      <c r="W94" s="396">
        <f t="shared" si="36"/>
        <v>1</v>
      </c>
      <c r="X94" s="394">
        <f>SUM($W$4:W94)/COUNT($W$4:W94)</f>
        <v>0.51648351648351654</v>
      </c>
      <c r="Z94" s="464">
        <v>2035.83</v>
      </c>
      <c r="AA94" s="465">
        <f t="shared" si="41"/>
        <v>7.668598563612683E-4</v>
      </c>
      <c r="AB94" s="465">
        <f t="shared" si="42"/>
        <v>0.3546191312679654</v>
      </c>
    </row>
    <row r="95" spans="1:28" x14ac:dyDescent="0.15">
      <c r="A95" s="384">
        <f t="shared" si="34"/>
        <v>93</v>
      </c>
      <c r="B95" s="401">
        <f t="shared" si="24"/>
        <v>38387</v>
      </c>
      <c r="C95" s="372"/>
      <c r="D95" s="390">
        <v>30195.15</v>
      </c>
      <c r="E95" s="387">
        <f>D95+SUM(Holdings_Old!$E$32:$E$34)</f>
        <v>30195.15</v>
      </c>
      <c r="F95" s="387">
        <f t="shared" si="38"/>
        <v>727.15000000000146</v>
      </c>
      <c r="G95" s="388">
        <f t="shared" si="37"/>
        <v>2.4675919641645283E-2</v>
      </c>
      <c r="H95" s="387">
        <f t="shared" si="22"/>
        <v>7339.3000000000029</v>
      </c>
      <c r="I95" s="388">
        <f t="shared" si="23"/>
        <v>0.32111253792792671</v>
      </c>
      <c r="K95" s="372"/>
      <c r="L95" s="369">
        <v>1203.03</v>
      </c>
      <c r="M95" s="394">
        <f t="shared" si="39"/>
        <v>2.7036948504302716E-2</v>
      </c>
      <c r="N95" s="394">
        <f t="shared" si="30"/>
        <v>0.2934693789781524</v>
      </c>
      <c r="O95" s="395" t="str">
        <f t="shared" si="31"/>
        <v>No</v>
      </c>
      <c r="P95" s="396">
        <f t="shared" si="35"/>
        <v>0</v>
      </c>
      <c r="Q95" s="394">
        <f>SUM($P$4:P95)/COUNT($P$4:P95)</f>
        <v>0.55434782608695654</v>
      </c>
      <c r="S95" s="369">
        <v>10716.13</v>
      </c>
      <c r="T95" s="394">
        <f t="shared" si="40"/>
        <v>2.7709260395887503E-2</v>
      </c>
      <c r="U95" s="394">
        <f t="shared" si="32"/>
        <v>0.24857620230510746</v>
      </c>
      <c r="V95" s="395" t="str">
        <f t="shared" si="33"/>
        <v>No</v>
      </c>
      <c r="W95" s="396">
        <f t="shared" si="36"/>
        <v>0</v>
      </c>
      <c r="X95" s="394">
        <f>SUM($W$4:W95)/COUNT($W$4:W95)</f>
        <v>0.51086956521739135</v>
      </c>
      <c r="Z95" s="464">
        <v>2086.66</v>
      </c>
      <c r="AA95" s="465">
        <f t="shared" si="41"/>
        <v>2.4967703590181856E-2</v>
      </c>
      <c r="AB95" s="465">
        <f t="shared" si="42"/>
        <v>0.38844086021505353</v>
      </c>
    </row>
    <row r="96" spans="1:28" x14ac:dyDescent="0.15">
      <c r="A96" s="384">
        <f t="shared" si="34"/>
        <v>94</v>
      </c>
      <c r="B96" s="401">
        <f t="shared" si="24"/>
        <v>38394</v>
      </c>
      <c r="C96" s="372"/>
      <c r="D96" s="390">
        <v>30017.11</v>
      </c>
      <c r="E96" s="387">
        <f>D96+SUM(Holdings_Old!$E$32:$E$34)</f>
        <v>30017.11</v>
      </c>
      <c r="F96" s="387">
        <f t="shared" si="38"/>
        <v>-178.04000000000087</v>
      </c>
      <c r="G96" s="388">
        <f t="shared" si="37"/>
        <v>-5.8963111625542908E-3</v>
      </c>
      <c r="H96" s="387">
        <f t="shared" si="22"/>
        <v>7161.260000000002</v>
      </c>
      <c r="I96" s="388">
        <f t="shared" si="23"/>
        <v>0.31332284732355187</v>
      </c>
      <c r="K96" s="372"/>
      <c r="L96" s="369">
        <v>1205.3</v>
      </c>
      <c r="M96" s="394">
        <f t="shared" si="39"/>
        <v>1.8869022385143985E-3</v>
      </c>
      <c r="N96" s="394">
        <f t="shared" si="30"/>
        <v>0.29591002924479604</v>
      </c>
      <c r="O96" s="395" t="str">
        <f t="shared" si="31"/>
        <v>No</v>
      </c>
      <c r="P96" s="396">
        <f t="shared" si="35"/>
        <v>0</v>
      </c>
      <c r="Q96" s="394">
        <f>SUM($P$4:P96)/COUNT($P$4:P96)</f>
        <v>0.54838709677419351</v>
      </c>
      <c r="S96" s="369">
        <v>10796.01</v>
      </c>
      <c r="T96" s="394">
        <f t="shared" si="40"/>
        <v>7.4541835532044853E-3</v>
      </c>
      <c r="U96" s="394">
        <f t="shared" si="32"/>
        <v>0.25788331849725266</v>
      </c>
      <c r="V96" s="395" t="str">
        <f t="shared" si="33"/>
        <v>No</v>
      </c>
      <c r="W96" s="396">
        <f t="shared" si="36"/>
        <v>0</v>
      </c>
      <c r="X96" s="394">
        <f>SUM($W$4:W96)/COUNT($W$4:W96)</f>
        <v>0.5053763440860215</v>
      </c>
      <c r="Z96" s="464">
        <v>2076.66</v>
      </c>
      <c r="AA96" s="465">
        <f t="shared" si="41"/>
        <v>-4.7923475793852921E-3</v>
      </c>
      <c r="AB96" s="465">
        <f t="shared" si="42"/>
        <v>0.38178696901948239</v>
      </c>
    </row>
    <row r="97" spans="1:28" x14ac:dyDescent="0.15">
      <c r="A97" s="384">
        <f t="shared" si="34"/>
        <v>95</v>
      </c>
      <c r="B97" s="401">
        <f t="shared" si="24"/>
        <v>38401</v>
      </c>
      <c r="C97" s="372"/>
      <c r="D97" s="390">
        <v>30045.41</v>
      </c>
      <c r="E97" s="387">
        <f>D97+SUM(Holdings_Old!$E$32:$E$34)</f>
        <v>30045.41</v>
      </c>
      <c r="F97" s="387">
        <f t="shared" si="38"/>
        <v>28.299999999999272</v>
      </c>
      <c r="G97" s="388">
        <f t="shared" si="37"/>
        <v>9.4279562556143226E-4</v>
      </c>
      <c r="H97" s="387">
        <f t="shared" si="22"/>
        <v>7189.5600000000013</v>
      </c>
      <c r="I97" s="388">
        <f t="shared" si="23"/>
        <v>0.31456104235895843</v>
      </c>
      <c r="K97" s="372"/>
      <c r="L97" s="369">
        <v>1201.5899999999999</v>
      </c>
      <c r="M97" s="394">
        <f t="shared" si="39"/>
        <v>-3.0780718493321757E-3</v>
      </c>
      <c r="N97" s="394">
        <f t="shared" si="30"/>
        <v>0.2919211250645104</v>
      </c>
      <c r="O97" s="395" t="str">
        <f t="shared" si="31"/>
        <v>Yes</v>
      </c>
      <c r="P97" s="396">
        <f t="shared" si="35"/>
        <v>1</v>
      </c>
      <c r="Q97" s="394">
        <f>SUM($P$4:P97)/COUNT($P$4:P97)</f>
        <v>0.55319148936170215</v>
      </c>
      <c r="S97" s="369">
        <v>10785.22</v>
      </c>
      <c r="T97" s="394">
        <f t="shared" si="40"/>
        <v>-9.9944331285362065E-4</v>
      </c>
      <c r="U97" s="394">
        <f t="shared" si="32"/>
        <v>0.25662613542623047</v>
      </c>
      <c r="V97" s="395" t="str">
        <f t="shared" si="33"/>
        <v>Yes</v>
      </c>
      <c r="W97" s="396">
        <f t="shared" si="36"/>
        <v>1</v>
      </c>
      <c r="X97" s="394">
        <f>SUM($W$4:W97)/COUNT($W$4:W97)</f>
        <v>0.51063829787234039</v>
      </c>
      <c r="Z97" s="464">
        <v>2058.62</v>
      </c>
      <c r="AA97" s="465">
        <f t="shared" si="41"/>
        <v>-8.6870262825883282E-3</v>
      </c>
      <c r="AB97" s="465">
        <f t="shared" si="42"/>
        <v>0.36978334930267209</v>
      </c>
    </row>
    <row r="98" spans="1:28" x14ac:dyDescent="0.15">
      <c r="A98" s="384">
        <f t="shared" si="34"/>
        <v>96</v>
      </c>
      <c r="B98" s="401">
        <f t="shared" si="24"/>
        <v>38408</v>
      </c>
      <c r="C98" s="372"/>
      <c r="D98" s="390">
        <v>30331.03</v>
      </c>
      <c r="E98" s="387">
        <f>D98+SUM(Holdings_Old!$E$32:$E$34)</f>
        <v>30331.03</v>
      </c>
      <c r="F98" s="387">
        <f t="shared" si="38"/>
        <v>285.61999999999898</v>
      </c>
      <c r="G98" s="388">
        <f t="shared" si="37"/>
        <v>9.5062773315457427E-3</v>
      </c>
      <c r="H98" s="387">
        <f t="shared" si="22"/>
        <v>7475.18</v>
      </c>
      <c r="I98" s="388">
        <f t="shared" si="23"/>
        <v>0.32705762419686857</v>
      </c>
      <c r="K98" s="372"/>
      <c r="L98" s="369">
        <v>1211.3699999999999</v>
      </c>
      <c r="M98" s="394">
        <f t="shared" si="39"/>
        <v>8.1392155394102161E-3</v>
      </c>
      <c r="N98" s="394">
        <f t="shared" si="30"/>
        <v>0.30243634956132781</v>
      </c>
      <c r="O98" s="395" t="str">
        <f t="shared" si="31"/>
        <v>Yes</v>
      </c>
      <c r="P98" s="396">
        <f t="shared" si="35"/>
        <v>1</v>
      </c>
      <c r="Q98" s="394">
        <f>SUM($P$4:P98)/COUNT($P$4:P98)</f>
        <v>0.55789473684210522</v>
      </c>
      <c r="S98" s="369">
        <v>10841.6</v>
      </c>
      <c r="T98" s="394">
        <f t="shared" si="40"/>
        <v>5.2275243342279065E-3</v>
      </c>
      <c r="U98" s="394">
        <f t="shared" si="32"/>
        <v>0.26319517912819768</v>
      </c>
      <c r="V98" s="395" t="str">
        <f t="shared" si="33"/>
        <v>Yes</v>
      </c>
      <c r="W98" s="396">
        <f t="shared" si="36"/>
        <v>1</v>
      </c>
      <c r="X98" s="394">
        <f>SUM($W$4:W98)/COUNT($W$4:W98)</f>
        <v>0.51578947368421058</v>
      </c>
      <c r="Z98" s="464">
        <v>2065.4</v>
      </c>
      <c r="AA98" s="465">
        <f t="shared" si="41"/>
        <v>3.2934684400229841E-3</v>
      </c>
      <c r="AB98" s="465">
        <f t="shared" si="42"/>
        <v>0.37429468753326933</v>
      </c>
    </row>
    <row r="99" spans="1:28" x14ac:dyDescent="0.15">
      <c r="A99" s="384">
        <f t="shared" si="34"/>
        <v>97</v>
      </c>
      <c r="B99" s="401">
        <f t="shared" si="24"/>
        <v>38415</v>
      </c>
      <c r="C99" s="372"/>
      <c r="D99" s="390">
        <v>30448.55</v>
      </c>
      <c r="E99" s="387">
        <f>D99+SUM(Holdings_Old!$E$32:$E$34)</f>
        <v>30448.55</v>
      </c>
      <c r="F99" s="387">
        <f t="shared" si="38"/>
        <v>117.52000000000044</v>
      </c>
      <c r="G99" s="388">
        <f t="shared" si="37"/>
        <v>3.874579926893329E-3</v>
      </c>
      <c r="H99" s="387">
        <f t="shared" si="22"/>
        <v>7592.7000000000007</v>
      </c>
      <c r="I99" s="388">
        <f t="shared" si="23"/>
        <v>0.33219941502941275</v>
      </c>
      <c r="K99" s="372"/>
      <c r="L99" s="369">
        <v>1222.1199999999999</v>
      </c>
      <c r="M99" s="394">
        <f t="shared" si="39"/>
        <v>8.874249816323676E-3</v>
      </c>
      <c r="N99" s="394">
        <f t="shared" si="30"/>
        <v>0.31399449509719579</v>
      </c>
      <c r="O99" s="395" t="str">
        <f t="shared" si="31"/>
        <v>No</v>
      </c>
      <c r="P99" s="396">
        <f t="shared" si="35"/>
        <v>0</v>
      </c>
      <c r="Q99" s="394">
        <f>SUM($P$4:P99)/COUNT($P$4:P99)</f>
        <v>0.55208333333333337</v>
      </c>
      <c r="S99" s="369">
        <v>10940.55</v>
      </c>
      <c r="T99" s="394">
        <f t="shared" si="40"/>
        <v>9.1268816410861042E-3</v>
      </c>
      <c r="U99" s="394">
        <f t="shared" si="32"/>
        <v>0.27472421201769137</v>
      </c>
      <c r="V99" s="395" t="str">
        <f t="shared" si="33"/>
        <v>No</v>
      </c>
      <c r="W99" s="396">
        <f t="shared" si="36"/>
        <v>0</v>
      </c>
      <c r="X99" s="394">
        <f>SUM($W$4:W99)/COUNT($W$4:W99)</f>
        <v>0.51041666666666663</v>
      </c>
      <c r="Z99" s="464">
        <v>2070.61</v>
      </c>
      <c r="AA99" s="465">
        <f t="shared" si="41"/>
        <v>2.5225137987798796E-3</v>
      </c>
      <c r="AB99" s="465">
        <f t="shared" si="42"/>
        <v>0.37776136484616196</v>
      </c>
    </row>
    <row r="100" spans="1:28" x14ac:dyDescent="0.15">
      <c r="A100" s="384">
        <f t="shared" si="34"/>
        <v>98</v>
      </c>
      <c r="B100" s="401">
        <f t="shared" si="24"/>
        <v>38422</v>
      </c>
      <c r="C100" s="372"/>
      <c r="D100" s="390">
        <v>30416.01</v>
      </c>
      <c r="E100" s="387">
        <f>D100+SUM(Holdings_Old!$E$32:$E$34)</f>
        <v>30416.01</v>
      </c>
      <c r="F100" s="387">
        <f t="shared" si="38"/>
        <v>-32.540000000000873</v>
      </c>
      <c r="G100" s="388">
        <f t="shared" si="37"/>
        <v>-1.068687999921214E-3</v>
      </c>
      <c r="H100" s="387">
        <f t="shared" si="22"/>
        <v>7560.16</v>
      </c>
      <c r="I100" s="388">
        <f t="shared" si="23"/>
        <v>0.3307757095010686</v>
      </c>
      <c r="K100" s="372"/>
      <c r="L100" s="369">
        <v>1200.08</v>
      </c>
      <c r="M100" s="394">
        <f t="shared" si="39"/>
        <v>-1.8034235590613013E-2</v>
      </c>
      <c r="N100" s="394">
        <f t="shared" si="30"/>
        <v>0.29029760880784439</v>
      </c>
      <c r="O100" s="395" t="str">
        <f t="shared" si="31"/>
        <v>Yes</v>
      </c>
      <c r="P100" s="396">
        <f t="shared" si="35"/>
        <v>1</v>
      </c>
      <c r="Q100" s="394">
        <f>SUM($P$4:P100)/COUNT($P$4:P100)</f>
        <v>0.55670103092783507</v>
      </c>
      <c r="S100" s="369">
        <v>10774.36</v>
      </c>
      <c r="T100" s="394">
        <f t="shared" si="40"/>
        <v>-1.5190278368089283E-2</v>
      </c>
      <c r="U100" s="394">
        <f t="shared" ref="U100:U131" si="43">(S100/$S$3)-1</f>
        <v>0.25536079639459941</v>
      </c>
      <c r="V100" s="395" t="str">
        <f t="shared" ref="V100:V131" si="44">IF(G100&gt;T100,"Yes","No")</f>
        <v>Yes</v>
      </c>
      <c r="W100" s="396">
        <f t="shared" si="36"/>
        <v>1</v>
      </c>
      <c r="X100" s="394">
        <f>SUM($W$4:W100)/COUNT($W$4:W100)</f>
        <v>0.51546391752577314</v>
      </c>
      <c r="Z100" s="464">
        <v>2041.6</v>
      </c>
      <c r="AA100" s="465">
        <f t="shared" si="41"/>
        <v>-1.4010364095604744E-2</v>
      </c>
      <c r="AB100" s="465">
        <f t="shared" si="42"/>
        <v>0.3584584264878099</v>
      </c>
    </row>
    <row r="101" spans="1:28" x14ac:dyDescent="0.15">
      <c r="A101" s="384">
        <f t="shared" si="34"/>
        <v>99</v>
      </c>
      <c r="B101" s="401">
        <f t="shared" si="24"/>
        <v>38429</v>
      </c>
      <c r="C101" s="372"/>
      <c r="D101" s="390">
        <v>29982.94</v>
      </c>
      <c r="E101" s="387">
        <f>D101+SUM(Holdings_Old!$E$32:$E$34)</f>
        <v>29982.94</v>
      </c>
      <c r="F101" s="387">
        <f t="shared" si="38"/>
        <v>-433.06999999999971</v>
      </c>
      <c r="G101" s="388">
        <f t="shared" si="37"/>
        <v>-1.423822519784812E-2</v>
      </c>
      <c r="H101" s="387">
        <f t="shared" si="22"/>
        <v>7127.09</v>
      </c>
      <c r="I101" s="388">
        <f t="shared" si="23"/>
        <v>0.31182782526136643</v>
      </c>
      <c r="K101" s="372"/>
      <c r="L101" s="369">
        <v>1189.6500000000001</v>
      </c>
      <c r="M101" s="394">
        <f t="shared" si="39"/>
        <v>-8.6910872608491063E-3</v>
      </c>
      <c r="N101" s="394">
        <f t="shared" si="30"/>
        <v>0.27908351969723033</v>
      </c>
      <c r="O101" s="395" t="str">
        <f t="shared" si="31"/>
        <v>No</v>
      </c>
      <c r="P101" s="396">
        <f t="shared" si="35"/>
        <v>0</v>
      </c>
      <c r="Q101" s="394">
        <f>SUM($P$4:P101)/COUNT($P$4:P101)</f>
        <v>0.55102040816326525</v>
      </c>
      <c r="S101" s="369">
        <v>10629.67</v>
      </c>
      <c r="T101" s="394">
        <f t="shared" si="40"/>
        <v>-1.342910390965224E-2</v>
      </c>
      <c r="U101" s="394">
        <f t="shared" si="43"/>
        <v>0.23850242581571246</v>
      </c>
      <c r="V101" s="395" t="str">
        <f t="shared" si="44"/>
        <v>No</v>
      </c>
      <c r="W101" s="396">
        <f t="shared" si="36"/>
        <v>0</v>
      </c>
      <c r="X101" s="394">
        <f>SUM($W$4:W101)/COUNT($W$4:W101)</f>
        <v>0.51020408163265307</v>
      </c>
      <c r="Z101" s="464">
        <v>2007.79</v>
      </c>
      <c r="AA101" s="465">
        <f t="shared" si="41"/>
        <v>-1.6560540752351027E-2</v>
      </c>
      <c r="AB101" s="465">
        <f t="shared" si="42"/>
        <v>0.33596162035558375</v>
      </c>
    </row>
    <row r="102" spans="1:28" x14ac:dyDescent="0.15">
      <c r="A102" s="384">
        <f t="shared" si="34"/>
        <v>100</v>
      </c>
      <c r="B102" s="401">
        <f t="shared" si="24"/>
        <v>38436</v>
      </c>
      <c r="C102" s="372"/>
      <c r="D102" s="390">
        <v>29314.02</v>
      </c>
      <c r="E102" s="387">
        <f>D102+SUM(Holdings_Old!$E$32:$E$34)</f>
        <v>29314.02</v>
      </c>
      <c r="F102" s="387">
        <f t="shared" si="38"/>
        <v>-668.91999999999825</v>
      </c>
      <c r="G102" s="388">
        <f t="shared" si="37"/>
        <v>-2.2310020298209499E-2</v>
      </c>
      <c r="H102" s="387">
        <f t="shared" si="22"/>
        <v>6458.1700000000019</v>
      </c>
      <c r="I102" s="388">
        <f t="shared" si="23"/>
        <v>0.28256091985202914</v>
      </c>
      <c r="K102" s="372"/>
      <c r="L102" s="369">
        <v>1171.42</v>
      </c>
      <c r="M102" s="394">
        <f t="shared" si="39"/>
        <v>-1.5323834741310494E-2</v>
      </c>
      <c r="N102" s="394">
        <f t="shared" si="30"/>
        <v>0.2594830552210563</v>
      </c>
      <c r="O102" s="395" t="str">
        <f t="shared" si="31"/>
        <v>No</v>
      </c>
      <c r="P102" s="396">
        <f t="shared" si="35"/>
        <v>0</v>
      </c>
      <c r="Q102" s="394">
        <f>SUM($P$4:P102)/COUNT($P$4:P102)</f>
        <v>0.54545454545454541</v>
      </c>
      <c r="S102" s="369">
        <v>10442.870000000001</v>
      </c>
      <c r="T102" s="394">
        <f t="shared" si="40"/>
        <v>-1.7573452421382751E-2</v>
      </c>
      <c r="U102" s="394">
        <f t="shared" si="43"/>
        <v>0.21673766236187308</v>
      </c>
      <c r="V102" s="395" t="str">
        <f t="shared" si="44"/>
        <v>No</v>
      </c>
      <c r="W102" s="396">
        <f t="shared" si="36"/>
        <v>0</v>
      </c>
      <c r="X102" s="394">
        <f>SUM($W$4:W102)/COUNT($W$4:W102)</f>
        <v>0.50505050505050508</v>
      </c>
      <c r="Z102" s="464">
        <v>1991.06</v>
      </c>
      <c r="AA102" s="465">
        <f t="shared" si="41"/>
        <v>-8.3325447382445184E-3</v>
      </c>
      <c r="AB102" s="465">
        <f t="shared" si="42"/>
        <v>0.32482966038539329</v>
      </c>
    </row>
    <row r="103" spans="1:28" x14ac:dyDescent="0.15">
      <c r="A103" s="384">
        <f t="shared" si="34"/>
        <v>101</v>
      </c>
      <c r="B103" s="401">
        <f t="shared" si="24"/>
        <v>38443</v>
      </c>
      <c r="C103" s="372"/>
      <c r="D103" s="390">
        <v>29238.74</v>
      </c>
      <c r="E103" s="387">
        <f>D103+SUM(Holdings_Old!$E$32:$E$34)</f>
        <v>29238.74</v>
      </c>
      <c r="F103" s="387">
        <f t="shared" si="38"/>
        <v>-75.279999999998836</v>
      </c>
      <c r="G103" s="388">
        <f t="shared" si="37"/>
        <v>-2.5680544667704419E-3</v>
      </c>
      <c r="H103" s="387">
        <f t="shared" si="22"/>
        <v>6382.8900000000031</v>
      </c>
      <c r="I103" s="388">
        <f t="shared" si="23"/>
        <v>0.27926723355289806</v>
      </c>
      <c r="K103" s="372"/>
      <c r="L103" s="369">
        <v>1172.92</v>
      </c>
      <c r="M103" s="394">
        <f t="shared" si="39"/>
        <v>1.2804971743696214E-3</v>
      </c>
      <c r="N103" s="394">
        <f t="shared" si="30"/>
        <v>0.2610958197144333</v>
      </c>
      <c r="O103" s="395" t="str">
        <f t="shared" si="31"/>
        <v>No</v>
      </c>
      <c r="P103" s="396">
        <f t="shared" si="35"/>
        <v>0</v>
      </c>
      <c r="Q103" s="394">
        <f>SUM($P$4:P103)/COUNT($P$4:P103)</f>
        <v>0.54</v>
      </c>
      <c r="S103" s="369">
        <v>10404.299999999999</v>
      </c>
      <c r="T103" s="394">
        <f t="shared" si="40"/>
        <v>-3.6934291052174162E-3</v>
      </c>
      <c r="U103" s="394">
        <f t="shared" si="43"/>
        <v>0.21224372806629144</v>
      </c>
      <c r="V103" s="395" t="str">
        <f t="shared" si="44"/>
        <v>Yes</v>
      </c>
      <c r="W103" s="396">
        <f t="shared" si="36"/>
        <v>1</v>
      </c>
      <c r="X103" s="394">
        <f>SUM($W$4:W103)/COUNT($W$4:W103)</f>
        <v>0.51</v>
      </c>
      <c r="Z103" s="464">
        <v>1984.81</v>
      </c>
      <c r="AA103" s="465">
        <f t="shared" si="41"/>
        <v>-3.1390314706739586E-3</v>
      </c>
      <c r="AB103" s="465">
        <f t="shared" si="42"/>
        <v>0.32067097838816117</v>
      </c>
    </row>
    <row r="104" spans="1:28" x14ac:dyDescent="0.15">
      <c r="A104" s="384">
        <f t="shared" si="34"/>
        <v>102</v>
      </c>
      <c r="B104" s="401">
        <f t="shared" si="24"/>
        <v>38450</v>
      </c>
      <c r="C104" s="372"/>
      <c r="D104" s="390">
        <v>29711.89</v>
      </c>
      <c r="E104" s="387">
        <f>D104+SUM(Holdings_Old!$E$32:$E$34)</f>
        <v>29711.89</v>
      </c>
      <c r="F104" s="387">
        <f t="shared" si="38"/>
        <v>473.14999999999782</v>
      </c>
      <c r="G104" s="388">
        <f t="shared" si="37"/>
        <v>1.6182297869196782E-2</v>
      </c>
      <c r="H104" s="387">
        <f t="shared" si="22"/>
        <v>6856.0400000000009</v>
      </c>
      <c r="I104" s="388">
        <f t="shared" si="23"/>
        <v>0.29996871698055427</v>
      </c>
      <c r="K104" s="372"/>
      <c r="L104" s="369">
        <v>1181.2</v>
      </c>
      <c r="M104" s="394">
        <f t="shared" si="39"/>
        <v>7.0593049824370091E-3</v>
      </c>
      <c r="N104" s="394">
        <f t="shared" si="30"/>
        <v>0.26999827971787371</v>
      </c>
      <c r="O104" s="395" t="str">
        <f t="shared" si="31"/>
        <v>Yes</v>
      </c>
      <c r="P104" s="396">
        <f t="shared" si="35"/>
        <v>1</v>
      </c>
      <c r="Q104" s="394">
        <f>SUM($P$4:P104)/COUNT($P$4:P104)</f>
        <v>0.54455445544554459</v>
      </c>
      <c r="S104" s="369">
        <v>10461.34</v>
      </c>
      <c r="T104" s="394">
        <f t="shared" si="40"/>
        <v>5.4823486443105196E-3</v>
      </c>
      <c r="U104" s="394">
        <f t="shared" si="43"/>
        <v>0.21888967082542976</v>
      </c>
      <c r="V104" s="395" t="str">
        <f t="shared" si="44"/>
        <v>Yes</v>
      </c>
      <c r="W104" s="396">
        <f t="shared" si="36"/>
        <v>1</v>
      </c>
      <c r="X104" s="394">
        <f>SUM($W$4:W104)/COUNT($W$4:W104)</f>
        <v>0.51485148514851486</v>
      </c>
      <c r="Z104" s="464">
        <v>1999.35</v>
      </c>
      <c r="AA104" s="465">
        <f t="shared" si="41"/>
        <v>7.3256382222983696E-3</v>
      </c>
      <c r="AB104" s="465">
        <f t="shared" si="42"/>
        <v>0.33034573618652163</v>
      </c>
    </row>
    <row r="105" spans="1:28" x14ac:dyDescent="0.15">
      <c r="A105" s="384">
        <f t="shared" si="34"/>
        <v>103</v>
      </c>
      <c r="B105" s="401">
        <f t="shared" si="24"/>
        <v>38457</v>
      </c>
      <c r="C105" s="372"/>
      <c r="D105" s="390">
        <v>29034.68</v>
      </c>
      <c r="E105" s="387">
        <f>D105+SUM(Holdings_Old!$E$32:$E$34)</f>
        <v>29034.68</v>
      </c>
      <c r="F105" s="387">
        <f t="shared" si="38"/>
        <v>-677.20999999999913</v>
      </c>
      <c r="G105" s="388">
        <f t="shared" ref="G105:G136" si="45">(E105/E104)-1</f>
        <v>-2.2792558803899743E-2</v>
      </c>
      <c r="H105" s="387">
        <f t="shared" ref="H105:H168" si="46">E105-$D$3</f>
        <v>6178.8300000000017</v>
      </c>
      <c r="I105" s="388">
        <f t="shared" ref="I105:I168" si="47">(E105/$D$3)-1</f>
        <v>0.27033910355554491</v>
      </c>
      <c r="K105" s="372"/>
      <c r="L105" s="369">
        <v>1142.6199999999999</v>
      </c>
      <c r="M105" s="394">
        <f t="shared" si="39"/>
        <v>-3.2661699966136215E-2</v>
      </c>
      <c r="N105" s="394">
        <f t="shared" si="30"/>
        <v>0.22851797694821929</v>
      </c>
      <c r="O105" s="395" t="str">
        <f t="shared" si="31"/>
        <v>Yes</v>
      </c>
      <c r="P105" s="396">
        <f t="shared" si="35"/>
        <v>1</v>
      </c>
      <c r="Q105" s="394">
        <f>SUM($P$4:P105)/COUNT($P$4:P105)</f>
        <v>0.5490196078431373</v>
      </c>
      <c r="S105" s="369">
        <v>10087.51</v>
      </c>
      <c r="T105" s="394">
        <f t="shared" si="40"/>
        <v>-3.5734427903117538E-2</v>
      </c>
      <c r="U105" s="394">
        <f t="shared" si="43"/>
        <v>0.17533334576146387</v>
      </c>
      <c r="V105" s="395" t="str">
        <f t="shared" si="44"/>
        <v>Yes</v>
      </c>
      <c r="W105" s="396">
        <f t="shared" si="36"/>
        <v>1</v>
      </c>
      <c r="X105" s="394">
        <f>SUM($W$4:W105)/COUNT($W$4:W105)</f>
        <v>0.51960784313725494</v>
      </c>
      <c r="Z105" s="464">
        <v>1908.15</v>
      </c>
      <c r="AA105" s="465">
        <f t="shared" si="41"/>
        <v>-4.561482481806578E-2</v>
      </c>
      <c r="AB105" s="465">
        <f t="shared" si="42"/>
        <v>0.26966224848291276</v>
      </c>
    </row>
    <row r="106" spans="1:28" x14ac:dyDescent="0.15">
      <c r="A106" s="384">
        <f t="shared" si="34"/>
        <v>104</v>
      </c>
      <c r="B106" s="401">
        <f t="shared" ref="B106:B169" si="48">B105+7</f>
        <v>38464</v>
      </c>
      <c r="C106" s="372"/>
      <c r="D106" s="390">
        <v>29163.84</v>
      </c>
      <c r="E106" s="387">
        <f>D106+SUM(Holdings_Old!$E$32:$E$34)</f>
        <v>29163.84</v>
      </c>
      <c r="F106" s="387">
        <f t="shared" ref="F106:F137" si="49">E106-E105</f>
        <v>129.15999999999985</v>
      </c>
      <c r="G106" s="388">
        <f t="shared" si="45"/>
        <v>4.4484733429126511E-3</v>
      </c>
      <c r="H106" s="387">
        <f t="shared" si="46"/>
        <v>6307.9900000000016</v>
      </c>
      <c r="I106" s="388">
        <f t="shared" si="47"/>
        <v>0.27599017319417141</v>
      </c>
      <c r="K106" s="372"/>
      <c r="L106" s="369">
        <v>1152.1199999999999</v>
      </c>
      <c r="M106" s="394">
        <f t="shared" si="39"/>
        <v>8.3142252017294194E-3</v>
      </c>
      <c r="N106" s="394">
        <f t="shared" si="30"/>
        <v>0.23873215207293974</v>
      </c>
      <c r="O106" s="395" t="str">
        <f t="shared" si="31"/>
        <v>No</v>
      </c>
      <c r="P106" s="396">
        <f t="shared" si="35"/>
        <v>0</v>
      </c>
      <c r="Q106" s="394">
        <f>SUM($P$4:P106)/COUNT($P$4:P106)</f>
        <v>0.5436893203883495</v>
      </c>
      <c r="S106" s="369">
        <v>10157.709999999999</v>
      </c>
      <c r="T106" s="394">
        <f t="shared" si="40"/>
        <v>6.9591009079543742E-3</v>
      </c>
      <c r="U106" s="394">
        <f t="shared" si="43"/>
        <v>0.18351260911510137</v>
      </c>
      <c r="V106" s="395" t="str">
        <f t="shared" si="44"/>
        <v>No</v>
      </c>
      <c r="W106" s="396">
        <f t="shared" si="36"/>
        <v>0</v>
      </c>
      <c r="X106" s="394">
        <f>SUM($W$4:W106)/COUNT($W$4:W106)</f>
        <v>0.5145631067961165</v>
      </c>
      <c r="Z106" s="464">
        <v>1932.19</v>
      </c>
      <c r="AA106" s="465">
        <f t="shared" si="41"/>
        <v>1.2598590257579367E-2</v>
      </c>
      <c r="AB106" s="465">
        <f t="shared" si="42"/>
        <v>0.28565820291706578</v>
      </c>
    </row>
    <row r="107" spans="1:28" x14ac:dyDescent="0.15">
      <c r="A107" s="384">
        <f t="shared" si="34"/>
        <v>105</v>
      </c>
      <c r="B107" s="401">
        <f t="shared" si="48"/>
        <v>38471</v>
      </c>
      <c r="C107" s="372"/>
      <c r="D107" s="390">
        <v>29384.1</v>
      </c>
      <c r="E107" s="387">
        <f>D107+SUM(Holdings_Old!$E$32:$E$34)</f>
        <v>29384.1</v>
      </c>
      <c r="F107" s="387">
        <f t="shared" si="49"/>
        <v>220.2599999999984</v>
      </c>
      <c r="G107" s="388">
        <f t="shared" si="45"/>
        <v>7.5525033740411196E-3</v>
      </c>
      <c r="H107" s="387">
        <f t="shared" si="46"/>
        <v>6528.25</v>
      </c>
      <c r="I107" s="388">
        <f t="shared" si="47"/>
        <v>0.28562709328246383</v>
      </c>
      <c r="K107" s="372"/>
      <c r="L107" s="369">
        <v>1156.8499999999999</v>
      </c>
      <c r="M107" s="394">
        <f t="shared" si="39"/>
        <v>4.1054751241189624E-3</v>
      </c>
      <c r="N107" s="394">
        <f t="shared" si="30"/>
        <v>0.24381773610872171</v>
      </c>
      <c r="O107" s="395" t="str">
        <f t="shared" si="31"/>
        <v>Yes</v>
      </c>
      <c r="P107" s="396">
        <f t="shared" si="35"/>
        <v>1</v>
      </c>
      <c r="Q107" s="394">
        <f>SUM($P$4:P107)/COUNT($P$4:P107)</f>
        <v>0.54807692307692313</v>
      </c>
      <c r="S107" s="369">
        <v>10192.51</v>
      </c>
      <c r="T107" s="394">
        <f t="shared" si="40"/>
        <v>3.4259690422349109E-3</v>
      </c>
      <c r="U107" s="394">
        <f t="shared" si="43"/>
        <v>0.18756728667502465</v>
      </c>
      <c r="V107" s="395" t="str">
        <f t="shared" si="44"/>
        <v>Yes</v>
      </c>
      <c r="W107" s="396">
        <f t="shared" si="36"/>
        <v>1</v>
      </c>
      <c r="X107" s="394">
        <f>SUM($W$4:W107)/COUNT($W$4:W107)</f>
        <v>0.51923076923076927</v>
      </c>
      <c r="Z107" s="464">
        <v>1921.65</v>
      </c>
      <c r="AA107" s="465">
        <f t="shared" si="41"/>
        <v>-5.4549500825488151E-3</v>
      </c>
      <c r="AB107" s="465">
        <f t="shared" si="42"/>
        <v>0.27864500159693395</v>
      </c>
    </row>
    <row r="108" spans="1:28" x14ac:dyDescent="0.15">
      <c r="A108" s="384">
        <f t="shared" si="34"/>
        <v>106</v>
      </c>
      <c r="B108" s="401">
        <f t="shared" si="48"/>
        <v>38478</v>
      </c>
      <c r="C108" s="372"/>
      <c r="D108" s="390">
        <v>29833.5</v>
      </c>
      <c r="E108" s="387">
        <f>D108+SUM(Holdings_Old!$E$32:$E$34)</f>
        <v>29833.5</v>
      </c>
      <c r="F108" s="387">
        <f t="shared" si="49"/>
        <v>449.40000000000146</v>
      </c>
      <c r="G108" s="388">
        <f t="shared" si="45"/>
        <v>1.5293985522782716E-2</v>
      </c>
      <c r="H108" s="387">
        <f t="shared" si="46"/>
        <v>6977.6500000000015</v>
      </c>
      <c r="I108" s="388">
        <f t="shared" si="47"/>
        <v>0.30528945543482311</v>
      </c>
      <c r="K108" s="372"/>
      <c r="L108" s="369">
        <v>1171.3499999999999</v>
      </c>
      <c r="M108" s="394">
        <f t="shared" si="39"/>
        <v>1.2534036391926406E-2</v>
      </c>
      <c r="N108" s="394">
        <f t="shared" si="30"/>
        <v>0.25940779287803184</v>
      </c>
      <c r="O108" s="395" t="str">
        <f t="shared" si="31"/>
        <v>Yes</v>
      </c>
      <c r="P108" s="396">
        <f t="shared" si="35"/>
        <v>1</v>
      </c>
      <c r="Q108" s="394">
        <f>SUM($P$4:P108)/COUNT($P$4:P108)</f>
        <v>0.55238095238095242</v>
      </c>
      <c r="S108" s="369">
        <v>10345.4</v>
      </c>
      <c r="T108" s="394">
        <f t="shared" si="40"/>
        <v>1.5000230561461159E-2</v>
      </c>
      <c r="U108" s="394">
        <f t="shared" si="43"/>
        <v>0.20538106978239878</v>
      </c>
      <c r="V108" s="395" t="str">
        <f t="shared" si="44"/>
        <v>Yes</v>
      </c>
      <c r="W108" s="396">
        <f t="shared" si="36"/>
        <v>1</v>
      </c>
      <c r="X108" s="394">
        <f>SUM($W$4:W108)/COUNT($W$4:W108)</f>
        <v>0.52380952380952384</v>
      </c>
      <c r="Z108" s="464">
        <v>1967.35</v>
      </c>
      <c r="AA108" s="465">
        <f t="shared" si="41"/>
        <v>2.3781645981318045E-2</v>
      </c>
      <c r="AB108" s="465">
        <f t="shared" si="42"/>
        <v>0.3090532843606939</v>
      </c>
    </row>
    <row r="109" spans="1:28" x14ac:dyDescent="0.15">
      <c r="A109" s="384">
        <f t="shared" si="34"/>
        <v>107</v>
      </c>
      <c r="B109" s="401">
        <f t="shared" si="48"/>
        <v>38485</v>
      </c>
      <c r="C109" s="372"/>
      <c r="D109" s="390">
        <v>29673.86</v>
      </c>
      <c r="E109" s="387">
        <f>D109+SUM(Holdings_Old!$E$32:$E$34)</f>
        <v>29673.86</v>
      </c>
      <c r="F109" s="387">
        <f t="shared" si="49"/>
        <v>-159.63999999999942</v>
      </c>
      <c r="G109" s="388">
        <f t="shared" si="45"/>
        <v>-5.3510315584829327E-3</v>
      </c>
      <c r="H109" s="387">
        <f t="shared" si="46"/>
        <v>6818.010000000002</v>
      </c>
      <c r="I109" s="388">
        <f t="shared" si="47"/>
        <v>0.29830481036583634</v>
      </c>
      <c r="K109" s="372"/>
      <c r="L109" s="369">
        <v>1154.05</v>
      </c>
      <c r="M109" s="394">
        <f t="shared" si="39"/>
        <v>-1.4769283305587577E-2</v>
      </c>
      <c r="N109" s="394">
        <f t="shared" si="30"/>
        <v>0.24080724238775142</v>
      </c>
      <c r="O109" s="395" t="str">
        <f t="shared" si="31"/>
        <v>Yes</v>
      </c>
      <c r="P109" s="396">
        <f t="shared" si="35"/>
        <v>1</v>
      </c>
      <c r="Q109" s="394">
        <f>SUM($P$4:P109)/COUNT($P$4:P109)</f>
        <v>0.55660377358490565</v>
      </c>
      <c r="S109" s="369">
        <v>10140.120000000001</v>
      </c>
      <c r="T109" s="394">
        <f t="shared" si="40"/>
        <v>-1.9842635374175854E-2</v>
      </c>
      <c r="U109" s="394">
        <f t="shared" si="43"/>
        <v>0.1814631327277727</v>
      </c>
      <c r="V109" s="395" t="str">
        <f t="shared" si="44"/>
        <v>Yes</v>
      </c>
      <c r="W109" s="396">
        <f t="shared" si="36"/>
        <v>1</v>
      </c>
      <c r="X109" s="394">
        <f>SUM($W$4:W109)/COUNT($W$4:W109)</f>
        <v>0.52830188679245282</v>
      </c>
      <c r="Z109" s="464">
        <v>1976.78</v>
      </c>
      <c r="AA109" s="465">
        <f t="shared" si="41"/>
        <v>4.7932498030345272E-3</v>
      </c>
      <c r="AB109" s="465">
        <f t="shared" si="42"/>
        <v>0.31532790375811759</v>
      </c>
    </row>
    <row r="110" spans="1:28" x14ac:dyDescent="0.15">
      <c r="A110" s="384">
        <f t="shared" si="34"/>
        <v>108</v>
      </c>
      <c r="B110" s="401">
        <f t="shared" si="48"/>
        <v>38492</v>
      </c>
      <c r="C110" s="372"/>
      <c r="D110" s="390">
        <v>30096.27</v>
      </c>
      <c r="E110" s="387">
        <f>D110+SUM(Holdings_Old!$E$32:$E$35)</f>
        <v>30096.27</v>
      </c>
      <c r="F110" s="387">
        <f t="shared" si="49"/>
        <v>422.40999999999985</v>
      </c>
      <c r="G110" s="388">
        <f t="shared" si="45"/>
        <v>1.423508771693327E-2</v>
      </c>
      <c r="H110" s="387">
        <f t="shared" si="46"/>
        <v>7240.4200000000019</v>
      </c>
      <c r="I110" s="388">
        <f t="shared" si="47"/>
        <v>0.31678629322471052</v>
      </c>
      <c r="K110" s="372"/>
      <c r="L110" s="369">
        <v>1189.28</v>
      </c>
      <c r="M110" s="394">
        <f t="shared" si="39"/>
        <v>3.0527273515012388E-2</v>
      </c>
      <c r="N110" s="394">
        <f t="shared" si="30"/>
        <v>0.27868570445553065</v>
      </c>
      <c r="O110" s="395" t="str">
        <f t="shared" si="31"/>
        <v>No</v>
      </c>
      <c r="P110" s="396">
        <f t="shared" si="35"/>
        <v>0</v>
      </c>
      <c r="Q110" s="394">
        <f>SUM($P$4:P110)/COUNT($P$4:P110)</f>
        <v>0.55140186915887845</v>
      </c>
      <c r="S110" s="369">
        <v>10471.91</v>
      </c>
      <c r="T110" s="394">
        <f t="shared" si="40"/>
        <v>3.2720520072740733E-2</v>
      </c>
      <c r="U110" s="394">
        <f t="shared" si="43"/>
        <v>0.22012122087739483</v>
      </c>
      <c r="V110" s="395" t="str">
        <f t="shared" si="44"/>
        <v>No</v>
      </c>
      <c r="W110" s="396">
        <f t="shared" si="36"/>
        <v>0</v>
      </c>
      <c r="X110" s="394">
        <f>SUM($W$4:W110)/COUNT($W$4:W110)</f>
        <v>0.52336448598130836</v>
      </c>
      <c r="Z110" s="464">
        <v>2046.42</v>
      </c>
      <c r="AA110" s="465">
        <f t="shared" si="41"/>
        <v>3.5229008792076133E-2</v>
      </c>
      <c r="AB110" s="465">
        <f t="shared" si="42"/>
        <v>0.36166560204407538</v>
      </c>
    </row>
    <row r="111" spans="1:28" x14ac:dyDescent="0.15">
      <c r="A111" s="384">
        <f t="shared" si="34"/>
        <v>109</v>
      </c>
      <c r="B111" s="401">
        <f t="shared" si="48"/>
        <v>38499</v>
      </c>
      <c r="C111" s="372"/>
      <c r="D111" s="390">
        <v>29882.27</v>
      </c>
      <c r="E111" s="387">
        <f>D111+SUM(Holdings_Old!$E$32:$E$35)</f>
        <v>29882.27</v>
      </c>
      <c r="F111" s="387">
        <f t="shared" si="49"/>
        <v>-214</v>
      </c>
      <c r="G111" s="388">
        <f t="shared" si="45"/>
        <v>-7.110515688488972E-3</v>
      </c>
      <c r="H111" s="387">
        <f t="shared" si="46"/>
        <v>7026.4200000000019</v>
      </c>
      <c r="I111" s="388">
        <f t="shared" si="47"/>
        <v>0.30742326362834915</v>
      </c>
      <c r="K111" s="372"/>
      <c r="L111" s="369">
        <v>1198.78</v>
      </c>
      <c r="M111" s="394">
        <f t="shared" si="39"/>
        <v>7.9880263688953956E-3</v>
      </c>
      <c r="N111" s="394">
        <f t="shared" si="30"/>
        <v>0.2888998795802511</v>
      </c>
      <c r="O111" s="395" t="str">
        <f t="shared" si="31"/>
        <v>No</v>
      </c>
      <c r="P111" s="396">
        <f t="shared" si="35"/>
        <v>0</v>
      </c>
      <c r="Q111" s="394">
        <f>SUM($P$4:P111)/COUNT($P$4:P111)</f>
        <v>0.54629629629629628</v>
      </c>
      <c r="S111" s="369">
        <v>10542.55</v>
      </c>
      <c r="T111" s="394">
        <f t="shared" si="40"/>
        <v>6.7456653084299045E-3</v>
      </c>
      <c r="U111" s="394">
        <f t="shared" si="43"/>
        <v>0.22835175026914656</v>
      </c>
      <c r="V111" s="395" t="str">
        <f t="shared" si="44"/>
        <v>No</v>
      </c>
      <c r="W111" s="396">
        <f t="shared" si="36"/>
        <v>0</v>
      </c>
      <c r="X111" s="394">
        <f>SUM($W$4:W111)/COUNT($W$4:W111)</f>
        <v>0.51851851851851849</v>
      </c>
      <c r="Z111" s="464">
        <v>2075.73</v>
      </c>
      <c r="AA111" s="465">
        <f t="shared" si="41"/>
        <v>1.4322573078840106E-2</v>
      </c>
      <c r="AB111" s="465">
        <f t="shared" si="42"/>
        <v>0.38116815713829433</v>
      </c>
    </row>
    <row r="112" spans="1:28" x14ac:dyDescent="0.15">
      <c r="A112" s="384">
        <f t="shared" si="34"/>
        <v>110</v>
      </c>
      <c r="B112" s="401">
        <f t="shared" si="48"/>
        <v>38506</v>
      </c>
      <c r="C112" s="372"/>
      <c r="D112" s="390">
        <v>29745.97</v>
      </c>
      <c r="E112" s="387">
        <f>D112+SUM(Holdings_Old!$E$32:$E$35)</f>
        <v>29745.97</v>
      </c>
      <c r="F112" s="387">
        <f t="shared" si="49"/>
        <v>-136.29999999999927</v>
      </c>
      <c r="G112" s="388">
        <f t="shared" si="45"/>
        <v>-4.5612331325565192E-3</v>
      </c>
      <c r="H112" s="387">
        <f t="shared" si="46"/>
        <v>6890.1200000000026</v>
      </c>
      <c r="I112" s="388">
        <f t="shared" si="47"/>
        <v>0.30145980132001227</v>
      </c>
      <c r="K112" s="372"/>
      <c r="L112" s="369">
        <v>1196.02</v>
      </c>
      <c r="M112" s="394">
        <f t="shared" si="39"/>
        <v>-2.3023407130582374E-3</v>
      </c>
      <c r="N112" s="394">
        <f t="shared" si="30"/>
        <v>0.28593239291243755</v>
      </c>
      <c r="O112" s="395" t="str">
        <f t="shared" si="31"/>
        <v>No</v>
      </c>
      <c r="P112" s="396">
        <f t="shared" si="35"/>
        <v>0</v>
      </c>
      <c r="Q112" s="394">
        <f>SUM($P$4:P112)/COUNT($P$4:P112)</f>
        <v>0.54128440366972475</v>
      </c>
      <c r="S112" s="369">
        <v>10460.969999999999</v>
      </c>
      <c r="T112" s="394">
        <f t="shared" si="40"/>
        <v>-7.7381658137737341E-3</v>
      </c>
      <c r="U112" s="394">
        <f t="shared" si="43"/>
        <v>0.21884656074792486</v>
      </c>
      <c r="V112" s="395" t="str">
        <f t="shared" si="44"/>
        <v>Yes</v>
      </c>
      <c r="W112" s="396">
        <f t="shared" si="36"/>
        <v>1</v>
      </c>
      <c r="X112" s="394">
        <f>SUM($W$4:W112)/COUNT($W$4:W112)</f>
        <v>0.52293577981651373</v>
      </c>
      <c r="Z112" s="464">
        <v>2071.77</v>
      </c>
      <c r="AA112" s="465">
        <f t="shared" si="41"/>
        <v>-1.9077625702764722E-3</v>
      </c>
      <c r="AB112" s="465">
        <f t="shared" si="42"/>
        <v>0.37853321622484826</v>
      </c>
    </row>
    <row r="113" spans="1:28" x14ac:dyDescent="0.15">
      <c r="A113" s="384">
        <f t="shared" si="34"/>
        <v>111</v>
      </c>
      <c r="B113" s="401">
        <f t="shared" si="48"/>
        <v>38513</v>
      </c>
      <c r="C113" s="372"/>
      <c r="D113" s="390">
        <v>30041.64</v>
      </c>
      <c r="E113" s="387">
        <f>D113+SUM(Holdings_Old!$E$32:$E$35)</f>
        <v>30041.64</v>
      </c>
      <c r="F113" s="387">
        <f t="shared" si="49"/>
        <v>295.66999999999825</v>
      </c>
      <c r="G113" s="388">
        <f t="shared" si="45"/>
        <v>9.9398338665708241E-3</v>
      </c>
      <c r="H113" s="387">
        <f t="shared" si="46"/>
        <v>7185.7900000000009</v>
      </c>
      <c r="I113" s="388">
        <f t="shared" si="47"/>
        <v>0.31439609552915337</v>
      </c>
      <c r="K113" s="372"/>
      <c r="L113" s="369">
        <v>1198.1099999999999</v>
      </c>
      <c r="M113" s="394">
        <f t="shared" si="39"/>
        <v>1.7474624170163988E-3</v>
      </c>
      <c r="N113" s="394">
        <f t="shared" si="30"/>
        <v>0.28817951143987597</v>
      </c>
      <c r="O113" s="395" t="str">
        <f t="shared" si="31"/>
        <v>Yes</v>
      </c>
      <c r="P113" s="396">
        <f t="shared" si="35"/>
        <v>1</v>
      </c>
      <c r="Q113" s="394">
        <f>SUM($P$4:P113)/COUNT($P$4:P113)</f>
        <v>0.54545454545454541</v>
      </c>
      <c r="S113" s="369">
        <v>10512.63</v>
      </c>
      <c r="T113" s="394">
        <f t="shared" si="40"/>
        <v>4.938356576875691E-3</v>
      </c>
      <c r="U113" s="394">
        <f t="shared" si="43"/>
        <v>0.22486565967739658</v>
      </c>
      <c r="V113" s="395" t="str">
        <f t="shared" si="44"/>
        <v>Yes</v>
      </c>
      <c r="W113" s="396">
        <f t="shared" si="36"/>
        <v>1</v>
      </c>
      <c r="X113" s="394">
        <f>SUM($W$4:W113)/COUNT($W$4:W113)</f>
        <v>0.52727272727272723</v>
      </c>
      <c r="Z113" s="464">
        <v>2063</v>
      </c>
      <c r="AA113" s="465">
        <f t="shared" si="41"/>
        <v>-4.2330953725557841E-3</v>
      </c>
      <c r="AB113" s="465">
        <f t="shared" si="42"/>
        <v>0.37269775364633229</v>
      </c>
    </row>
    <row r="114" spans="1:28" x14ac:dyDescent="0.15">
      <c r="A114" s="384">
        <f t="shared" si="34"/>
        <v>112</v>
      </c>
      <c r="B114" s="401">
        <f t="shared" si="48"/>
        <v>38520</v>
      </c>
      <c r="C114" s="372"/>
      <c r="D114" s="390">
        <v>30265.919999999998</v>
      </c>
      <c r="E114" s="387">
        <f>D114+SUM(Holdings_Old!$E$32:$E$35)</f>
        <v>30265.919999999998</v>
      </c>
      <c r="F114" s="387">
        <f t="shared" si="49"/>
        <v>224.27999999999884</v>
      </c>
      <c r="G114" s="388">
        <f t="shared" si="45"/>
        <v>7.4656376948794012E-3</v>
      </c>
      <c r="H114" s="387">
        <f t="shared" si="46"/>
        <v>7410.07</v>
      </c>
      <c r="I114" s="388">
        <f t="shared" si="47"/>
        <v>0.32420890056593832</v>
      </c>
      <c r="K114" s="372"/>
      <c r="L114" s="369">
        <v>1216.96</v>
      </c>
      <c r="M114" s="394">
        <f t="shared" si="39"/>
        <v>1.5733112986286768E-2</v>
      </c>
      <c r="N114" s="394">
        <f t="shared" si="30"/>
        <v>0.30844658523997937</v>
      </c>
      <c r="O114" s="395" t="str">
        <f t="shared" si="31"/>
        <v>No</v>
      </c>
      <c r="P114" s="396">
        <f t="shared" si="35"/>
        <v>0</v>
      </c>
      <c r="Q114" s="394">
        <f>SUM($P$4:P114)/COUNT($P$4:P114)</f>
        <v>0.54054054054054057</v>
      </c>
      <c r="S114" s="369">
        <v>10623.07</v>
      </c>
      <c r="T114" s="394">
        <f t="shared" si="40"/>
        <v>1.0505458672092516E-2</v>
      </c>
      <c r="U114" s="394">
        <f t="shared" si="43"/>
        <v>0.23773343524400303</v>
      </c>
      <c r="V114" s="395" t="str">
        <f t="shared" si="44"/>
        <v>No</v>
      </c>
      <c r="W114" s="396">
        <f t="shared" si="36"/>
        <v>0</v>
      </c>
      <c r="X114" s="394">
        <f>SUM($W$4:W114)/COUNT($W$4:W114)</f>
        <v>0.52252252252252251</v>
      </c>
      <c r="Z114" s="464">
        <v>2090.11</v>
      </c>
      <c r="AA114" s="465">
        <f t="shared" si="41"/>
        <v>1.3141056713523946E-2</v>
      </c>
      <c r="AB114" s="465">
        <f t="shared" si="42"/>
        <v>0.39073645267752588</v>
      </c>
    </row>
    <row r="115" spans="1:28" x14ac:dyDescent="0.15">
      <c r="A115" s="384">
        <f t="shared" si="34"/>
        <v>113</v>
      </c>
      <c r="B115" s="401">
        <f t="shared" si="48"/>
        <v>38527</v>
      </c>
      <c r="C115" s="372"/>
      <c r="D115" s="390">
        <v>29958.18</v>
      </c>
      <c r="E115" s="387">
        <f>D115+SUM(Holdings_Old!$E$32:$E$35)</f>
        <v>29958.18</v>
      </c>
      <c r="F115" s="387">
        <f t="shared" si="49"/>
        <v>-307.73999999999796</v>
      </c>
      <c r="G115" s="388">
        <f t="shared" si="45"/>
        <v>-1.0167871982744936E-2</v>
      </c>
      <c r="H115" s="387">
        <f t="shared" si="46"/>
        <v>7102.3300000000017</v>
      </c>
      <c r="I115" s="388">
        <f t="shared" si="47"/>
        <v>0.31074451398657255</v>
      </c>
      <c r="K115" s="372"/>
      <c r="L115" s="369">
        <v>1191.57</v>
      </c>
      <c r="M115" s="394">
        <f t="shared" si="39"/>
        <v>-2.086346305548259E-2</v>
      </c>
      <c r="N115" s="394">
        <f t="shared" si="30"/>
        <v>0.28114785824875277</v>
      </c>
      <c r="O115" s="395" t="str">
        <f t="shared" si="31"/>
        <v>Yes</v>
      </c>
      <c r="P115" s="396">
        <f t="shared" si="35"/>
        <v>1</v>
      </c>
      <c r="Q115" s="394">
        <f>SUM($P$4:P115)/COUNT($P$4:P115)</f>
        <v>0.5446428571428571</v>
      </c>
      <c r="S115" s="369">
        <v>10297.84</v>
      </c>
      <c r="T115" s="394">
        <f t="shared" si="40"/>
        <v>-3.0615443558218103E-2</v>
      </c>
      <c r="U115" s="394">
        <f t="shared" si="43"/>
        <v>0.19983967711717088</v>
      </c>
      <c r="V115" s="395" t="str">
        <f t="shared" si="44"/>
        <v>Yes</v>
      </c>
      <c r="W115" s="396">
        <f t="shared" si="36"/>
        <v>1</v>
      </c>
      <c r="X115" s="394">
        <f>SUM($W$4:W115)/COUNT($W$4:W115)</f>
        <v>0.5267857142857143</v>
      </c>
      <c r="Z115" s="464">
        <v>2053.27</v>
      </c>
      <c r="AA115" s="465">
        <f t="shared" si="41"/>
        <v>-1.7625866581184813E-2</v>
      </c>
      <c r="AB115" s="465">
        <f t="shared" si="42"/>
        <v>0.3662235175130415</v>
      </c>
    </row>
    <row r="116" spans="1:28" x14ac:dyDescent="0.15">
      <c r="A116" s="384">
        <f t="shared" si="34"/>
        <v>114</v>
      </c>
      <c r="B116" s="401">
        <f t="shared" si="48"/>
        <v>38534</v>
      </c>
      <c r="C116" s="372"/>
      <c r="D116" s="390">
        <v>30063.439999999999</v>
      </c>
      <c r="E116" s="387">
        <f>D116+SUM(Holdings_Old!$E$32:$E$35)</f>
        <v>30063.439999999999</v>
      </c>
      <c r="F116" s="387">
        <f t="shared" si="49"/>
        <v>105.2599999999984</v>
      </c>
      <c r="G116" s="388">
        <f t="shared" si="45"/>
        <v>3.5135645756851908E-3</v>
      </c>
      <c r="H116" s="387">
        <f t="shared" si="46"/>
        <v>7207.59</v>
      </c>
      <c r="I116" s="388">
        <f t="shared" si="47"/>
        <v>0.31534989947868919</v>
      </c>
      <c r="K116" s="372"/>
      <c r="L116" s="369">
        <v>1194.44</v>
      </c>
      <c r="M116" s="394">
        <f t="shared" si="39"/>
        <v>2.4085869902734647E-3</v>
      </c>
      <c r="N116" s="394">
        <f t="shared" si="30"/>
        <v>0.2842336143127473</v>
      </c>
      <c r="O116" s="395" t="str">
        <f t="shared" si="31"/>
        <v>Yes</v>
      </c>
      <c r="P116" s="396">
        <f t="shared" si="35"/>
        <v>1</v>
      </c>
      <c r="Q116" s="394">
        <f>SUM($P$4:P116)/COUNT($P$4:P116)</f>
        <v>0.54867256637168138</v>
      </c>
      <c r="S116" s="369">
        <v>10303.44</v>
      </c>
      <c r="T116" s="394">
        <f t="shared" si="40"/>
        <v>5.4380336070480872E-4</v>
      </c>
      <c r="U116" s="394">
        <f t="shared" si="43"/>
        <v>0.20049215396589415</v>
      </c>
      <c r="V116" s="395" t="str">
        <f t="shared" si="44"/>
        <v>Yes</v>
      </c>
      <c r="W116" s="396">
        <f t="shared" si="36"/>
        <v>1</v>
      </c>
      <c r="X116" s="394">
        <f>SUM($W$4:W116)/COUNT($W$4:W116)</f>
        <v>0.53097345132743368</v>
      </c>
      <c r="Z116" s="464">
        <v>2057.37</v>
      </c>
      <c r="AA116" s="465">
        <f t="shared" si="41"/>
        <v>1.9968148368212368E-3</v>
      </c>
      <c r="AB116" s="465">
        <f t="shared" si="42"/>
        <v>0.36895161290322553</v>
      </c>
    </row>
    <row r="117" spans="1:28" x14ac:dyDescent="0.15">
      <c r="A117" s="384">
        <f t="shared" si="34"/>
        <v>115</v>
      </c>
      <c r="B117" s="401">
        <f t="shared" si="48"/>
        <v>38541</v>
      </c>
      <c r="C117" s="372"/>
      <c r="D117" s="390">
        <v>30744.09</v>
      </c>
      <c r="E117" s="387">
        <f>D117+SUM(Holdings_Old!$E$32:$E$35)</f>
        <v>30744.09</v>
      </c>
      <c r="F117" s="387">
        <f t="shared" si="49"/>
        <v>680.65000000000146</v>
      </c>
      <c r="G117" s="388">
        <f t="shared" si="45"/>
        <v>2.2640456315045743E-2</v>
      </c>
      <c r="H117" s="387">
        <f t="shared" si="46"/>
        <v>7888.2400000000016</v>
      </c>
      <c r="I117" s="388">
        <f t="shared" si="47"/>
        <v>0.34513002141683646</v>
      </c>
      <c r="K117" s="372"/>
      <c r="L117" s="369">
        <v>1211.8599999999999</v>
      </c>
      <c r="M117" s="394">
        <f t="shared" si="39"/>
        <v>1.4584240313452179E-2</v>
      </c>
      <c r="N117" s="394">
        <f t="shared" si="30"/>
        <v>0.30296318596249772</v>
      </c>
      <c r="O117" s="395" t="str">
        <f t="shared" si="31"/>
        <v>Yes</v>
      </c>
      <c r="P117" s="396">
        <f t="shared" si="35"/>
        <v>1</v>
      </c>
      <c r="Q117" s="394">
        <f>SUM($P$4:P117)/COUNT($P$4:P117)</f>
        <v>0.55263157894736847</v>
      </c>
      <c r="S117" s="369">
        <v>10449.14</v>
      </c>
      <c r="T117" s="394">
        <f t="shared" si="40"/>
        <v>1.4140908279176578E-2</v>
      </c>
      <c r="U117" s="394">
        <f t="shared" si="43"/>
        <v>0.21746820340499684</v>
      </c>
      <c r="V117" s="395" t="str">
        <f t="shared" si="44"/>
        <v>Yes</v>
      </c>
      <c r="W117" s="396">
        <f t="shared" si="36"/>
        <v>1</v>
      </c>
      <c r="X117" s="394">
        <f>SUM($W$4:W117)/COUNT($W$4:W117)</f>
        <v>0.53508771929824561</v>
      </c>
      <c r="Z117" s="464">
        <v>2112.88</v>
      </c>
      <c r="AA117" s="465">
        <f t="shared" si="41"/>
        <v>2.6981048620326131E-2</v>
      </c>
      <c r="AB117" s="465">
        <f t="shared" si="42"/>
        <v>0.4058873629298414</v>
      </c>
    </row>
    <row r="118" spans="1:28" x14ac:dyDescent="0.15">
      <c r="A118" s="384">
        <f t="shared" si="34"/>
        <v>116</v>
      </c>
      <c r="B118" s="401">
        <f t="shared" si="48"/>
        <v>38548</v>
      </c>
      <c r="C118" s="372"/>
      <c r="D118" s="390">
        <v>31087.040000000001</v>
      </c>
      <c r="E118" s="387">
        <f>D118+SUM(Holdings_Old!$E$32:$E$35)</f>
        <v>31087.040000000001</v>
      </c>
      <c r="F118" s="387">
        <f t="shared" si="49"/>
        <v>342.95000000000073</v>
      </c>
      <c r="G118" s="388">
        <f t="shared" si="45"/>
        <v>1.1154989463015408E-2</v>
      </c>
      <c r="H118" s="387">
        <f t="shared" si="46"/>
        <v>8231.1900000000023</v>
      </c>
      <c r="I118" s="388">
        <f t="shared" si="47"/>
        <v>0.36013493263212704</v>
      </c>
      <c r="K118" s="372"/>
      <c r="L118" s="369">
        <v>1227.92</v>
      </c>
      <c r="M118" s="394">
        <f t="shared" si="39"/>
        <v>1.3252355882692912E-2</v>
      </c>
      <c r="N118" s="394">
        <f t="shared" si="30"/>
        <v>0.32023051780492007</v>
      </c>
      <c r="O118" s="395" t="str">
        <f t="shared" si="31"/>
        <v>No</v>
      </c>
      <c r="P118" s="396">
        <f t="shared" si="35"/>
        <v>0</v>
      </c>
      <c r="Q118" s="394">
        <f>SUM($P$4:P118)/COUNT($P$4:P118)</f>
        <v>0.54782608695652169</v>
      </c>
      <c r="S118" s="369">
        <v>10640.83</v>
      </c>
      <c r="T118" s="394">
        <f t="shared" si="40"/>
        <v>1.8345050406062269E-2</v>
      </c>
      <c r="U118" s="394">
        <f t="shared" si="43"/>
        <v>0.23980271896423955</v>
      </c>
      <c r="V118" s="395" t="str">
        <f t="shared" si="44"/>
        <v>No</v>
      </c>
      <c r="W118" s="396">
        <f t="shared" si="36"/>
        <v>0</v>
      </c>
      <c r="X118" s="394">
        <f>SUM($W$4:W118)/COUNT($W$4:W118)</f>
        <v>0.5304347826086957</v>
      </c>
      <c r="Z118" s="464">
        <v>2156.7800000000002</v>
      </c>
      <c r="AA118" s="465">
        <f t="shared" si="41"/>
        <v>2.0777327628639597E-2</v>
      </c>
      <c r="AB118" s="465">
        <f t="shared" si="42"/>
        <v>0.43509794527839873</v>
      </c>
    </row>
    <row r="119" spans="1:28" x14ac:dyDescent="0.15">
      <c r="A119" s="384">
        <f t="shared" si="34"/>
        <v>117</v>
      </c>
      <c r="B119" s="401">
        <f t="shared" si="48"/>
        <v>38555</v>
      </c>
      <c r="C119" s="372"/>
      <c r="D119" s="390">
        <v>31199.9</v>
      </c>
      <c r="E119" s="387">
        <f>D119+SUM(Holdings_Old!$E$32:$E$35)</f>
        <v>31199.9</v>
      </c>
      <c r="F119" s="387">
        <f t="shared" si="49"/>
        <v>112.86000000000058</v>
      </c>
      <c r="G119" s="388">
        <f t="shared" si="45"/>
        <v>3.6304517895560107E-3</v>
      </c>
      <c r="H119" s="387">
        <f t="shared" si="46"/>
        <v>8344.0500000000029</v>
      </c>
      <c r="I119" s="388">
        <f t="shared" si="47"/>
        <v>0.36507283693233905</v>
      </c>
      <c r="K119" s="372"/>
      <c r="L119" s="369">
        <v>1233.68</v>
      </c>
      <c r="M119" s="394">
        <f t="shared" si="39"/>
        <v>4.6908593393706344E-3</v>
      </c>
      <c r="N119" s="394">
        <f t="shared" si="30"/>
        <v>0.32642353345948738</v>
      </c>
      <c r="O119" s="395" t="str">
        <f t="shared" si="31"/>
        <v>No</v>
      </c>
      <c r="P119" s="396">
        <f t="shared" si="35"/>
        <v>0</v>
      </c>
      <c r="Q119" s="394">
        <f>SUM($P$4:P119)/COUNT($P$4:P119)</f>
        <v>0.5431034482758621</v>
      </c>
      <c r="S119" s="369">
        <v>10651.18</v>
      </c>
      <c r="T119" s="394">
        <f t="shared" si="40"/>
        <v>9.7266848544719231E-4</v>
      </c>
      <c r="U119" s="394">
        <f t="shared" si="43"/>
        <v>0.24100863599714772</v>
      </c>
      <c r="V119" s="395" t="str">
        <f t="shared" si="44"/>
        <v>Yes</v>
      </c>
      <c r="W119" s="396">
        <f t="shared" si="36"/>
        <v>1</v>
      </c>
      <c r="X119" s="394">
        <f>SUM($W$4:W119)/COUNT($W$4:W119)</f>
        <v>0.53448275862068961</v>
      </c>
      <c r="Z119" s="464">
        <v>2179.7399999999998</v>
      </c>
      <c r="AA119" s="465">
        <f t="shared" si="41"/>
        <v>1.0645499309155149E-2</v>
      </c>
      <c r="AB119" s="465">
        <f t="shared" si="42"/>
        <v>0.45037527946342992</v>
      </c>
    </row>
    <row r="120" spans="1:28" x14ac:dyDescent="0.15">
      <c r="A120" s="384">
        <f t="shared" si="34"/>
        <v>118</v>
      </c>
      <c r="B120" s="401">
        <f t="shared" si="48"/>
        <v>38562</v>
      </c>
      <c r="C120" s="372"/>
      <c r="D120" s="390">
        <v>31264.81</v>
      </c>
      <c r="E120" s="387">
        <f>D120+SUM(Holdings_Old!$E$32:$E$35)</f>
        <v>31264.81</v>
      </c>
      <c r="F120" s="387">
        <f t="shared" si="49"/>
        <v>64.909999999999854</v>
      </c>
      <c r="G120" s="388">
        <f t="shared" si="45"/>
        <v>2.0804553860749309E-3</v>
      </c>
      <c r="H120" s="387">
        <f t="shared" si="46"/>
        <v>8408.9600000000028</v>
      </c>
      <c r="I120" s="388">
        <f t="shared" si="47"/>
        <v>0.36791281006831955</v>
      </c>
      <c r="K120" s="372"/>
      <c r="L120" s="369">
        <v>1234.18</v>
      </c>
      <c r="M120" s="394">
        <f t="shared" si="39"/>
        <v>4.052914856365053E-4</v>
      </c>
      <c r="N120" s="394">
        <f t="shared" si="30"/>
        <v>0.3269611216239463</v>
      </c>
      <c r="O120" s="395" t="str">
        <f t="shared" si="31"/>
        <v>Yes</v>
      </c>
      <c r="P120" s="396">
        <f t="shared" si="35"/>
        <v>1</v>
      </c>
      <c r="Q120" s="394">
        <f>SUM($P$4:P120)/COUNT($P$4:P120)</f>
        <v>0.54700854700854706</v>
      </c>
      <c r="S120" s="369">
        <v>10640.91</v>
      </c>
      <c r="T120" s="394">
        <f t="shared" si="40"/>
        <v>-9.6421241590138873E-4</v>
      </c>
      <c r="U120" s="394">
        <f t="shared" si="43"/>
        <v>0.23981204006207846</v>
      </c>
      <c r="V120" s="395" t="str">
        <f t="shared" si="44"/>
        <v>Yes</v>
      </c>
      <c r="W120" s="396">
        <f t="shared" si="36"/>
        <v>1</v>
      </c>
      <c r="X120" s="394">
        <f>SUM($W$4:W120)/COUNT($W$4:W120)</f>
        <v>0.53846153846153844</v>
      </c>
      <c r="Z120" s="464">
        <v>2184.83</v>
      </c>
      <c r="AA120" s="465">
        <f t="shared" si="41"/>
        <v>2.3351408883629521E-3</v>
      </c>
      <c r="AB120" s="465">
        <f t="shared" si="42"/>
        <v>0.45376211008197576</v>
      </c>
    </row>
    <row r="121" spans="1:28" x14ac:dyDescent="0.15">
      <c r="A121" s="384">
        <f t="shared" si="34"/>
        <v>119</v>
      </c>
      <c r="B121" s="401">
        <f t="shared" si="48"/>
        <v>38569</v>
      </c>
      <c r="C121" s="372"/>
      <c r="D121" s="390">
        <v>31130</v>
      </c>
      <c r="E121" s="387">
        <f>D121+SUM(Holdings_Old!$E$32:$E$35)</f>
        <v>31130</v>
      </c>
      <c r="F121" s="387">
        <f t="shared" si="49"/>
        <v>-134.81000000000131</v>
      </c>
      <c r="G121" s="388">
        <f t="shared" si="45"/>
        <v>-4.3118765154818162E-3</v>
      </c>
      <c r="H121" s="387">
        <f t="shared" si="46"/>
        <v>8274.1500000000015</v>
      </c>
      <c r="I121" s="388">
        <f t="shared" si="47"/>
        <v>0.36201453894735924</v>
      </c>
      <c r="K121" s="372"/>
      <c r="L121" s="369">
        <v>1226.42</v>
      </c>
      <c r="M121" s="394">
        <f t="shared" si="39"/>
        <v>-6.2875755562397107E-3</v>
      </c>
      <c r="N121" s="394">
        <f t="shared" si="30"/>
        <v>0.31861775331154307</v>
      </c>
      <c r="O121" s="395" t="str">
        <f t="shared" si="31"/>
        <v>Yes</v>
      </c>
      <c r="P121" s="396">
        <f t="shared" si="35"/>
        <v>1</v>
      </c>
      <c r="Q121" s="394">
        <f>SUM($P$4:P121)/COUNT($P$4:P121)</f>
        <v>0.55084745762711862</v>
      </c>
      <c r="S121" s="369">
        <v>10558.03</v>
      </c>
      <c r="T121" s="394">
        <f t="shared" si="40"/>
        <v>-7.788807536197484E-3</v>
      </c>
      <c r="U121" s="394">
        <f t="shared" si="43"/>
        <v>0.23015538270097458</v>
      </c>
      <c r="V121" s="395" t="str">
        <f t="shared" si="44"/>
        <v>Yes</v>
      </c>
      <c r="W121" s="396">
        <f t="shared" si="36"/>
        <v>1</v>
      </c>
      <c r="X121" s="394">
        <f>SUM($W$4:W121)/COUNT($W$4:W121)</f>
        <v>0.5423728813559322</v>
      </c>
      <c r="Z121" s="464">
        <v>2177.91</v>
      </c>
      <c r="AA121" s="465">
        <f t="shared" si="41"/>
        <v>-3.1672944805775094E-3</v>
      </c>
      <c r="AB121" s="465">
        <f t="shared" si="42"/>
        <v>0.44915761737464055</v>
      </c>
    </row>
    <row r="122" spans="1:28" x14ac:dyDescent="0.15">
      <c r="A122" s="384">
        <f t="shared" si="34"/>
        <v>120</v>
      </c>
      <c r="B122" s="401">
        <f t="shared" si="48"/>
        <v>38576</v>
      </c>
      <c r="C122" s="372"/>
      <c r="D122" s="390">
        <v>31163.54</v>
      </c>
      <c r="E122" s="387">
        <f>D122+SUM(Holdings_Old!$E$32:$E$35)</f>
        <v>31163.54</v>
      </c>
      <c r="F122" s="387">
        <f t="shared" si="49"/>
        <v>33.540000000000873</v>
      </c>
      <c r="G122" s="388">
        <f t="shared" si="45"/>
        <v>1.0774172823642125E-3</v>
      </c>
      <c r="H122" s="387">
        <f t="shared" si="46"/>
        <v>8307.6900000000023</v>
      </c>
      <c r="I122" s="388">
        <f t="shared" si="47"/>
        <v>0.36348199695045258</v>
      </c>
      <c r="K122" s="372"/>
      <c r="L122" s="369">
        <v>1230.3900000000001</v>
      </c>
      <c r="M122" s="394">
        <f t="shared" si="39"/>
        <v>3.2370639748211527E-3</v>
      </c>
      <c r="N122" s="394">
        <f t="shared" si="30"/>
        <v>0.32288620333734741</v>
      </c>
      <c r="O122" s="395" t="str">
        <f t="shared" si="31"/>
        <v>No</v>
      </c>
      <c r="P122" s="396">
        <f t="shared" si="35"/>
        <v>0</v>
      </c>
      <c r="Q122" s="394">
        <f>SUM($P$4:P122)/COUNT($P$4:P122)</f>
        <v>0.54621848739495793</v>
      </c>
      <c r="S122" s="369">
        <v>10600.31</v>
      </c>
      <c r="T122" s="394">
        <f t="shared" si="40"/>
        <v>4.0045349369151051E-3</v>
      </c>
      <c r="U122" s="394">
        <f t="shared" si="43"/>
        <v>0.23508158290883485</v>
      </c>
      <c r="V122" s="395" t="str">
        <f t="shared" si="44"/>
        <v>No</v>
      </c>
      <c r="W122" s="396">
        <f t="shared" si="36"/>
        <v>0</v>
      </c>
      <c r="X122" s="394">
        <f>SUM($W$4:W122)/COUNT($W$4:W122)</f>
        <v>0.53781512605042014</v>
      </c>
      <c r="Z122" s="464">
        <v>2156.9</v>
      </c>
      <c r="AA122" s="465">
        <f t="shared" si="41"/>
        <v>-9.6468632771784524E-3</v>
      </c>
      <c r="AB122" s="465">
        <f t="shared" si="42"/>
        <v>0.43517779197274553</v>
      </c>
    </row>
    <row r="123" spans="1:28" x14ac:dyDescent="0.15">
      <c r="A123" s="384">
        <f t="shared" si="34"/>
        <v>121</v>
      </c>
      <c r="B123" s="401">
        <f t="shared" si="48"/>
        <v>38583</v>
      </c>
      <c r="C123" s="372"/>
      <c r="D123" s="390">
        <v>30853.97</v>
      </c>
      <c r="E123" s="387">
        <f>D123+SUM(Holdings_Old!$E$32:$E$35)</f>
        <v>30853.97</v>
      </c>
      <c r="F123" s="387">
        <f t="shared" si="49"/>
        <v>-309.56999999999971</v>
      </c>
      <c r="G123" s="388">
        <f t="shared" si="45"/>
        <v>-9.933723832401542E-3</v>
      </c>
      <c r="H123" s="387">
        <f t="shared" si="46"/>
        <v>7998.1200000000026</v>
      </c>
      <c r="I123" s="388">
        <f t="shared" si="47"/>
        <v>0.34993754334229554</v>
      </c>
      <c r="K123" s="372"/>
      <c r="L123" s="369">
        <v>1219.71</v>
      </c>
      <c r="M123" s="394">
        <f t="shared" si="39"/>
        <v>-8.6801745787921103E-3</v>
      </c>
      <c r="N123" s="394">
        <f t="shared" si="30"/>
        <v>0.31140332014450367</v>
      </c>
      <c r="O123" s="395" t="str">
        <f t="shared" si="31"/>
        <v>No</v>
      </c>
      <c r="P123" s="396">
        <f t="shared" si="35"/>
        <v>0</v>
      </c>
      <c r="Q123" s="394">
        <f>SUM($P$4:P123)/COUNT($P$4:P123)</f>
        <v>0.54166666666666663</v>
      </c>
      <c r="S123" s="369">
        <v>10559.23</v>
      </c>
      <c r="T123" s="394">
        <f t="shared" si="40"/>
        <v>-3.8753583621611298E-3</v>
      </c>
      <c r="U123" s="394">
        <f t="shared" si="43"/>
        <v>0.23029519916855801</v>
      </c>
      <c r="V123" s="395" t="str">
        <f t="shared" si="44"/>
        <v>No</v>
      </c>
      <c r="W123" s="396">
        <f t="shared" si="36"/>
        <v>0</v>
      </c>
      <c r="X123" s="394">
        <f>SUM($W$4:W123)/COUNT($W$4:W123)</f>
        <v>0.53333333333333333</v>
      </c>
      <c r="Z123" s="464">
        <v>2135.56</v>
      </c>
      <c r="AA123" s="465">
        <f t="shared" si="41"/>
        <v>-9.8938291065882034E-3</v>
      </c>
      <c r="AB123" s="465">
        <f t="shared" si="42"/>
        <v>0.42097838816139665</v>
      </c>
    </row>
    <row r="124" spans="1:28" x14ac:dyDescent="0.15">
      <c r="A124" s="384">
        <f t="shared" si="34"/>
        <v>122</v>
      </c>
      <c r="B124" s="401">
        <f t="shared" si="48"/>
        <v>38590</v>
      </c>
      <c r="C124" s="372"/>
      <c r="D124" s="390">
        <v>30659.21</v>
      </c>
      <c r="E124" s="387">
        <f>D124+SUM(Holdings_Old!$E$32:$E$35)</f>
        <v>30659.21</v>
      </c>
      <c r="F124" s="387">
        <f t="shared" si="49"/>
        <v>-194.76000000000204</v>
      </c>
      <c r="G124" s="388">
        <f t="shared" si="45"/>
        <v>-6.3123157246863792E-3</v>
      </c>
      <c r="H124" s="387">
        <f t="shared" si="46"/>
        <v>7803.3600000000006</v>
      </c>
      <c r="I124" s="388">
        <f t="shared" si="47"/>
        <v>0.34141631136011141</v>
      </c>
      <c r="K124" s="372"/>
      <c r="L124" s="369">
        <v>1205.0999999999999</v>
      </c>
      <c r="M124" s="394">
        <f t="shared" si="39"/>
        <v>-1.1978257126694203E-2</v>
      </c>
      <c r="N124" s="394">
        <f t="shared" si="30"/>
        <v>0.29569499397901233</v>
      </c>
      <c r="O124" s="395" t="str">
        <f t="shared" si="31"/>
        <v>Yes</v>
      </c>
      <c r="P124" s="396">
        <f t="shared" si="35"/>
        <v>1</v>
      </c>
      <c r="Q124" s="394">
        <f>SUM($P$4:P124)/COUNT($P$4:P124)</f>
        <v>0.54545454545454541</v>
      </c>
      <c r="S124" s="369">
        <v>10397.290000000001</v>
      </c>
      <c r="T124" s="394">
        <f t="shared" si="40"/>
        <v>-1.5336345547923402E-2</v>
      </c>
      <c r="U124" s="394">
        <f t="shared" si="43"/>
        <v>0.21142696686815787</v>
      </c>
      <c r="V124" s="395" t="str">
        <f t="shared" si="44"/>
        <v>Yes</v>
      </c>
      <c r="W124" s="396">
        <f t="shared" si="36"/>
        <v>1</v>
      </c>
      <c r="X124" s="394">
        <f>SUM($W$4:W124)/COUNT($W$4:W124)</f>
        <v>0.53719008264462809</v>
      </c>
      <c r="Z124" s="464">
        <v>2120.77</v>
      </c>
      <c r="AA124" s="465">
        <f t="shared" si="41"/>
        <v>-6.9255839217816639E-3</v>
      </c>
      <c r="AB124" s="465">
        <f t="shared" si="42"/>
        <v>0.41113728308314701</v>
      </c>
    </row>
    <row r="125" spans="1:28" x14ac:dyDescent="0.15">
      <c r="A125" s="384">
        <f t="shared" si="34"/>
        <v>123</v>
      </c>
      <c r="B125" s="401">
        <f t="shared" si="48"/>
        <v>38597</v>
      </c>
      <c r="C125" s="372"/>
      <c r="D125" s="390">
        <v>30735.9</v>
      </c>
      <c r="E125" s="387">
        <f>D125+SUM(Holdings_Old!$E$32:$E$35)</f>
        <v>30735.9</v>
      </c>
      <c r="F125" s="387">
        <f t="shared" si="49"/>
        <v>76.690000000002328</v>
      </c>
      <c r="G125" s="388">
        <f t="shared" si="45"/>
        <v>2.5013690828956658E-3</v>
      </c>
      <c r="H125" s="387">
        <f t="shared" si="46"/>
        <v>7880.0500000000029</v>
      </c>
      <c r="I125" s="388">
        <f t="shared" si="47"/>
        <v>0.34477168864863939</v>
      </c>
      <c r="K125" s="372"/>
      <c r="L125" s="369">
        <v>1218.02</v>
      </c>
      <c r="M125" s="394">
        <f t="shared" si="39"/>
        <v>1.0721101983238057E-2</v>
      </c>
      <c r="N125" s="394">
        <f t="shared" si="30"/>
        <v>0.30958627214863221</v>
      </c>
      <c r="O125" s="395" t="str">
        <f t="shared" si="31"/>
        <v>No</v>
      </c>
      <c r="P125" s="396">
        <f t="shared" si="35"/>
        <v>0</v>
      </c>
      <c r="Q125" s="394">
        <f>SUM($P$4:P125)/COUNT($P$4:P125)</f>
        <v>0.54098360655737709</v>
      </c>
      <c r="S125" s="369">
        <v>10447.370000000001</v>
      </c>
      <c r="T125" s="394">
        <f t="shared" si="40"/>
        <v>4.8166397205424705E-3</v>
      </c>
      <c r="U125" s="394">
        <f t="shared" si="43"/>
        <v>0.21726197411531145</v>
      </c>
      <c r="V125" s="395" t="str">
        <f t="shared" si="44"/>
        <v>No</v>
      </c>
      <c r="W125" s="396">
        <f t="shared" si="36"/>
        <v>0</v>
      </c>
      <c r="X125" s="394">
        <f>SUM($W$4:W125)/COUNT($W$4:W125)</f>
        <v>0.53278688524590168</v>
      </c>
      <c r="Z125" s="464">
        <v>2141.0700000000002</v>
      </c>
      <c r="AA125" s="465">
        <f t="shared" si="41"/>
        <v>9.5719950772596984E-3</v>
      </c>
      <c r="AB125" s="465">
        <f t="shared" si="42"/>
        <v>0.42464468221015661</v>
      </c>
    </row>
    <row r="126" spans="1:28" x14ac:dyDescent="0.15">
      <c r="A126" s="384">
        <f t="shared" si="34"/>
        <v>124</v>
      </c>
      <c r="B126" s="401">
        <f t="shared" si="48"/>
        <v>38604</v>
      </c>
      <c r="C126" s="372"/>
      <c r="D126" s="390">
        <v>31139.08</v>
      </c>
      <c r="E126" s="387">
        <f>D126+SUM(Holdings_Old!$E$32:$E$35)</f>
        <v>31139.08</v>
      </c>
      <c r="F126" s="387">
        <f t="shared" si="49"/>
        <v>403.18000000000029</v>
      </c>
      <c r="G126" s="388">
        <f t="shared" si="45"/>
        <v>1.3117559596432793E-2</v>
      </c>
      <c r="H126" s="387">
        <f t="shared" si="46"/>
        <v>8283.2300000000032</v>
      </c>
      <c r="I126" s="388">
        <f t="shared" si="47"/>
        <v>0.36241181141808343</v>
      </c>
      <c r="K126" s="372"/>
      <c r="L126" s="369">
        <v>1241.48</v>
      </c>
      <c r="M126" s="394">
        <f t="shared" si="39"/>
        <v>1.9260767475082652E-2</v>
      </c>
      <c r="N126" s="394">
        <f t="shared" si="30"/>
        <v>0.33480990882504735</v>
      </c>
      <c r="O126" s="395" t="str">
        <f t="shared" si="31"/>
        <v>No</v>
      </c>
      <c r="P126" s="396">
        <f t="shared" si="35"/>
        <v>0</v>
      </c>
      <c r="Q126" s="394">
        <f>SUM($P$4:P126)/COUNT($P$4:P126)</f>
        <v>0.53658536585365857</v>
      </c>
      <c r="S126" s="369">
        <v>10678.56</v>
      </c>
      <c r="T126" s="394">
        <f t="shared" si="40"/>
        <v>2.2129014287806337E-2</v>
      </c>
      <c r="U126" s="394">
        <f t="shared" si="43"/>
        <v>0.24419878173251242</v>
      </c>
      <c r="V126" s="395" t="str">
        <f t="shared" si="44"/>
        <v>No</v>
      </c>
      <c r="W126" s="396">
        <f t="shared" si="36"/>
        <v>0</v>
      </c>
      <c r="X126" s="394">
        <f>SUM($W$4:W126)/COUNT($W$4:W126)</f>
        <v>0.52845528455284552</v>
      </c>
      <c r="Z126" s="464">
        <v>2175.5100000000002</v>
      </c>
      <c r="AA126" s="465">
        <f t="shared" si="41"/>
        <v>1.6085415236307021E-2</v>
      </c>
      <c r="AB126" s="465">
        <f t="shared" si="42"/>
        <v>0.44756068348770373</v>
      </c>
    </row>
    <row r="127" spans="1:28" x14ac:dyDescent="0.15">
      <c r="A127" s="384">
        <f t="shared" si="34"/>
        <v>125</v>
      </c>
      <c r="B127" s="401">
        <f t="shared" si="48"/>
        <v>38611</v>
      </c>
      <c r="C127" s="372"/>
      <c r="D127" s="390">
        <v>31189.57</v>
      </c>
      <c r="E127" s="387">
        <f>D127+SUM(Holdings_Old!$E$32:$E$35)</f>
        <v>31189.57</v>
      </c>
      <c r="F127" s="387">
        <f t="shared" si="49"/>
        <v>50.489999999997963</v>
      </c>
      <c r="G127" s="388">
        <f t="shared" si="45"/>
        <v>1.6214351869097143E-3</v>
      </c>
      <c r="H127" s="387">
        <f t="shared" si="46"/>
        <v>8333.7200000000012</v>
      </c>
      <c r="I127" s="388">
        <f t="shared" si="47"/>
        <v>0.36462087386817821</v>
      </c>
      <c r="K127" s="372"/>
      <c r="L127" s="369">
        <v>1237.9100000000001</v>
      </c>
      <c r="M127" s="394">
        <f t="shared" si="39"/>
        <v>-2.8756000902148138E-3</v>
      </c>
      <c r="N127" s="394">
        <f t="shared" si="30"/>
        <v>0.3309715293308102</v>
      </c>
      <c r="O127" s="395" t="str">
        <f t="shared" si="31"/>
        <v>Yes</v>
      </c>
      <c r="P127" s="396">
        <f t="shared" si="35"/>
        <v>1</v>
      </c>
      <c r="Q127" s="394">
        <f>SUM($P$4:P127)/COUNT($P$4:P127)</f>
        <v>0.54032258064516125</v>
      </c>
      <c r="S127" s="369">
        <v>10641.94</v>
      </c>
      <c r="T127" s="394">
        <f t="shared" si="40"/>
        <v>-3.4293013290180863E-3</v>
      </c>
      <c r="U127" s="394">
        <f t="shared" si="43"/>
        <v>0.23993204919675448</v>
      </c>
      <c r="V127" s="395" t="str">
        <f t="shared" si="44"/>
        <v>Yes</v>
      </c>
      <c r="W127" s="396">
        <f t="shared" si="36"/>
        <v>1</v>
      </c>
      <c r="X127" s="394">
        <f>SUM($W$4:W127)/COUNT($W$4:W127)</f>
        <v>0.532258064516129</v>
      </c>
      <c r="Z127" s="464">
        <v>2160.35</v>
      </c>
      <c r="AA127" s="465">
        <f t="shared" si="41"/>
        <v>-6.9684809538914649E-3</v>
      </c>
      <c r="AB127" s="465">
        <f t="shared" si="42"/>
        <v>0.43747338443521766</v>
      </c>
    </row>
    <row r="128" spans="1:28" x14ac:dyDescent="0.15">
      <c r="A128" s="384">
        <f t="shared" si="34"/>
        <v>126</v>
      </c>
      <c r="B128" s="401">
        <f t="shared" si="48"/>
        <v>38618</v>
      </c>
      <c r="C128" s="372"/>
      <c r="D128" s="390">
        <v>30678.28</v>
      </c>
      <c r="E128" s="387">
        <f>D128+SUM(Holdings_Old!$E$32:$E$35)</f>
        <v>30678.28</v>
      </c>
      <c r="F128" s="387">
        <f t="shared" si="49"/>
        <v>-511.29000000000087</v>
      </c>
      <c r="G128" s="388">
        <f t="shared" si="45"/>
        <v>-1.6392980089177223E-2</v>
      </c>
      <c r="H128" s="387">
        <f t="shared" si="46"/>
        <v>7822.43</v>
      </c>
      <c r="I128" s="388">
        <f t="shared" si="47"/>
        <v>0.34225067105358153</v>
      </c>
      <c r="K128" s="372"/>
      <c r="L128" s="369">
        <v>1215.29</v>
      </c>
      <c r="M128" s="394">
        <f t="shared" si="39"/>
        <v>-1.8272733882107817E-2</v>
      </c>
      <c r="N128" s="394">
        <f t="shared" si="30"/>
        <v>0.30665104077068639</v>
      </c>
      <c r="O128" s="395" t="str">
        <f t="shared" si="31"/>
        <v>Yes</v>
      </c>
      <c r="P128" s="396">
        <f t="shared" si="35"/>
        <v>1</v>
      </c>
      <c r="Q128" s="394">
        <f>SUM($P$4:P128)/COUNT($P$4:P128)</f>
        <v>0.54400000000000004</v>
      </c>
      <c r="S128" s="369">
        <v>10419.59</v>
      </c>
      <c r="T128" s="394">
        <f t="shared" si="40"/>
        <v>-2.0893746816839864E-2</v>
      </c>
      <c r="U128" s="394">
        <f t="shared" si="43"/>
        <v>0.21402522289075199</v>
      </c>
      <c r="V128" s="395" t="str">
        <f t="shared" si="44"/>
        <v>Yes</v>
      </c>
      <c r="W128" s="396">
        <f t="shared" si="36"/>
        <v>1</v>
      </c>
      <c r="X128" s="394">
        <f>SUM($W$4:W128)/COUNT($W$4:W128)</f>
        <v>0.53600000000000003</v>
      </c>
      <c r="Z128" s="464">
        <v>2116.84</v>
      </c>
      <c r="AA128" s="465">
        <f t="shared" si="41"/>
        <v>-2.014025505126471E-2</v>
      </c>
      <c r="AB128" s="465">
        <f t="shared" si="42"/>
        <v>0.40852230384328747</v>
      </c>
    </row>
    <row r="129" spans="1:28" x14ac:dyDescent="0.15">
      <c r="A129" s="384">
        <f t="shared" si="34"/>
        <v>127</v>
      </c>
      <c r="B129" s="401">
        <f t="shared" si="48"/>
        <v>38625</v>
      </c>
      <c r="C129" s="372"/>
      <c r="D129" s="390">
        <v>30854.62</v>
      </c>
      <c r="E129" s="387">
        <f>D129+SUM(Holdings_Old!$E$32:$E$35)</f>
        <v>30854.62</v>
      </c>
      <c r="F129" s="387">
        <f t="shared" si="49"/>
        <v>176.34000000000015</v>
      </c>
      <c r="G129" s="388">
        <f t="shared" si="45"/>
        <v>5.7480406333079159E-3</v>
      </c>
      <c r="H129" s="387">
        <f t="shared" si="46"/>
        <v>7998.77</v>
      </c>
      <c r="I129" s="388">
        <f t="shared" si="47"/>
        <v>0.34996598245088251</v>
      </c>
      <c r="K129" s="372"/>
      <c r="L129" s="369">
        <v>1228.81</v>
      </c>
      <c r="M129" s="394">
        <f t="shared" si="39"/>
        <v>1.1124916686552133E-2</v>
      </c>
      <c r="N129" s="394">
        <f t="shared" si="30"/>
        <v>0.32118742473765693</v>
      </c>
      <c r="O129" s="395" t="str">
        <f t="shared" si="31"/>
        <v>No</v>
      </c>
      <c r="P129" s="396">
        <f t="shared" si="35"/>
        <v>0</v>
      </c>
      <c r="Q129" s="394">
        <f>SUM($P$4:P129)/COUNT($P$4:P129)</f>
        <v>0.53968253968253965</v>
      </c>
      <c r="S129" s="369">
        <v>10568.7</v>
      </c>
      <c r="T129" s="394">
        <f t="shared" si="40"/>
        <v>1.4310543888963023E-2</v>
      </c>
      <c r="U129" s="394">
        <f t="shared" si="43"/>
        <v>0.23139858412523839</v>
      </c>
      <c r="V129" s="395" t="str">
        <f t="shared" si="44"/>
        <v>No</v>
      </c>
      <c r="W129" s="396">
        <f t="shared" si="36"/>
        <v>0</v>
      </c>
      <c r="X129" s="394">
        <f>SUM($W$4:W129)/COUNT($W$4:W129)</f>
        <v>0.53174603174603174</v>
      </c>
      <c r="Z129" s="464">
        <v>2151.69</v>
      </c>
      <c r="AA129" s="465">
        <f t="shared" si="41"/>
        <v>1.6463218760038423E-2</v>
      </c>
      <c r="AB129" s="465">
        <f t="shared" si="42"/>
        <v>0.43171111465985312</v>
      </c>
    </row>
    <row r="130" spans="1:28" x14ac:dyDescent="0.15">
      <c r="A130" s="384">
        <f t="shared" si="34"/>
        <v>128</v>
      </c>
      <c r="B130" s="401">
        <f t="shared" si="48"/>
        <v>38632</v>
      </c>
      <c r="C130" s="372"/>
      <c r="D130" s="390">
        <v>30272.82</v>
      </c>
      <c r="E130" s="387">
        <f>D130+SUM(Holdings_Old!$E$32:$E$35)</f>
        <v>30272.82</v>
      </c>
      <c r="F130" s="387">
        <f t="shared" si="49"/>
        <v>-581.79999999999927</v>
      </c>
      <c r="G130" s="388">
        <f t="shared" si="45"/>
        <v>-1.8856171296227298E-2</v>
      </c>
      <c r="H130" s="387">
        <f t="shared" si="46"/>
        <v>7416.9700000000012</v>
      </c>
      <c r="I130" s="388">
        <f t="shared" si="47"/>
        <v>0.32451079264170879</v>
      </c>
      <c r="K130" s="372"/>
      <c r="L130" s="369">
        <v>1195.9000000000001</v>
      </c>
      <c r="M130" s="394">
        <f t="shared" si="39"/>
        <v>-2.6782008609955832E-2</v>
      </c>
      <c r="N130" s="394">
        <f t="shared" si="30"/>
        <v>0.28580337175296755</v>
      </c>
      <c r="O130" s="395" t="str">
        <f t="shared" si="31"/>
        <v>Yes</v>
      </c>
      <c r="P130" s="396">
        <f t="shared" si="35"/>
        <v>1</v>
      </c>
      <c r="Q130" s="394">
        <f>SUM($P$4:P130)/COUNT($P$4:P130)</f>
        <v>0.54330708661417326</v>
      </c>
      <c r="S130" s="369">
        <v>10292.31</v>
      </c>
      <c r="T130" s="394">
        <f t="shared" si="40"/>
        <v>-2.6151749978710837E-2</v>
      </c>
      <c r="U130" s="394">
        <f t="shared" si="43"/>
        <v>0.19919535622905649</v>
      </c>
      <c r="V130" s="395" t="str">
        <f t="shared" si="44"/>
        <v>Yes</v>
      </c>
      <c r="W130" s="396">
        <f t="shared" si="36"/>
        <v>1</v>
      </c>
      <c r="X130" s="394">
        <f>SUM($W$4:W130)/COUNT($W$4:W130)</f>
        <v>0.53543307086614178</v>
      </c>
      <c r="Z130" s="464">
        <v>2090.35</v>
      </c>
      <c r="AA130" s="465">
        <f t="shared" si="41"/>
        <v>-2.8507824082465438E-2</v>
      </c>
      <c r="AB130" s="465">
        <f t="shared" si="42"/>
        <v>0.39089614606621947</v>
      </c>
    </row>
    <row r="131" spans="1:28" x14ac:dyDescent="0.15">
      <c r="A131" s="384">
        <f t="shared" si="34"/>
        <v>129</v>
      </c>
      <c r="B131" s="401">
        <f t="shared" si="48"/>
        <v>38639</v>
      </c>
      <c r="C131" s="372"/>
      <c r="D131" s="390">
        <v>30069.11</v>
      </c>
      <c r="E131" s="387">
        <f>D131+SUM(Holdings_Old!$E$32:$E$35)</f>
        <v>30069.11</v>
      </c>
      <c r="F131" s="387">
        <f t="shared" si="49"/>
        <v>-203.70999999999913</v>
      </c>
      <c r="G131" s="388">
        <f t="shared" si="45"/>
        <v>-6.7291385473834398E-3</v>
      </c>
      <c r="H131" s="387">
        <f t="shared" si="46"/>
        <v>7213.260000000002</v>
      </c>
      <c r="I131" s="388">
        <f t="shared" si="47"/>
        <v>0.31559797601051831</v>
      </c>
      <c r="K131" s="372"/>
      <c r="L131" s="369">
        <v>1186.57</v>
      </c>
      <c r="M131" s="394">
        <f t="shared" si="39"/>
        <v>-7.8016556568276663E-3</v>
      </c>
      <c r="N131" s="394">
        <f t="shared" si="30"/>
        <v>0.27577197660416286</v>
      </c>
      <c r="O131" s="395" t="str">
        <f t="shared" si="31"/>
        <v>Yes</v>
      </c>
      <c r="P131" s="396">
        <f t="shared" si="35"/>
        <v>1</v>
      </c>
      <c r="Q131" s="394">
        <f>SUM($P$4:P131)/COUNT($P$4:P131)</f>
        <v>0.546875</v>
      </c>
      <c r="S131" s="369">
        <v>10287.34</v>
      </c>
      <c r="T131" s="394">
        <f t="shared" si="40"/>
        <v>-4.8288479456981559E-4</v>
      </c>
      <c r="U131" s="394">
        <f t="shared" si="43"/>
        <v>0.19861628302581469</v>
      </c>
      <c r="V131" s="395" t="str">
        <f t="shared" si="44"/>
        <v>No</v>
      </c>
      <c r="W131" s="396">
        <f t="shared" si="36"/>
        <v>0</v>
      </c>
      <c r="X131" s="394">
        <f>SUM($W$4:W131)/COUNT($W$4:W131)</f>
        <v>0.53125</v>
      </c>
      <c r="Z131" s="464">
        <v>2064.83</v>
      </c>
      <c r="AA131" s="465">
        <f t="shared" si="41"/>
        <v>-1.2208481833185791E-2</v>
      </c>
      <c r="AB131" s="465">
        <f t="shared" si="42"/>
        <v>0.37391541573512166</v>
      </c>
    </row>
    <row r="132" spans="1:28" x14ac:dyDescent="0.15">
      <c r="A132" s="384">
        <f t="shared" si="34"/>
        <v>130</v>
      </c>
      <c r="B132" s="401">
        <f t="shared" si="48"/>
        <v>38646</v>
      </c>
      <c r="C132" s="372"/>
      <c r="D132" s="390">
        <v>30450.5</v>
      </c>
      <c r="E132" s="387">
        <f>D132+SUM(Holdings_Old!$E$32:$E$35)</f>
        <v>30450.5</v>
      </c>
      <c r="F132" s="387">
        <f t="shared" si="49"/>
        <v>381.38999999999942</v>
      </c>
      <c r="G132" s="388">
        <f t="shared" si="45"/>
        <v>1.2683780796970634E-2</v>
      </c>
      <c r="H132" s="387">
        <f t="shared" si="46"/>
        <v>7594.6500000000015</v>
      </c>
      <c r="I132" s="388">
        <f t="shared" si="47"/>
        <v>0.33228473235517386</v>
      </c>
      <c r="K132" s="372"/>
      <c r="L132" s="369">
        <v>1179.5899999999999</v>
      </c>
      <c r="M132" s="394">
        <f t="shared" si="39"/>
        <v>-5.8825016644614703E-3</v>
      </c>
      <c r="N132" s="394">
        <f t="shared" ref="N132:N195" si="50">(L132/$L$3)-1</f>
        <v>0.26826724582831574</v>
      </c>
      <c r="O132" s="395" t="str">
        <f t="shared" ref="O132:O195" si="51">IF(G132&gt;M132,"Yes","No")</f>
        <v>Yes</v>
      </c>
      <c r="P132" s="396">
        <f t="shared" si="35"/>
        <v>1</v>
      </c>
      <c r="Q132" s="394">
        <f>SUM($P$4:P132)/COUNT($P$4:P132)</f>
        <v>0.55038759689922478</v>
      </c>
      <c r="S132" s="369">
        <v>10215.219999999999</v>
      </c>
      <c r="T132" s="394">
        <f t="shared" si="40"/>
        <v>-7.0105586089310723E-3</v>
      </c>
      <c r="U132" s="394">
        <f t="shared" ref="U132:U163" si="52">(S132/$S$3)-1</f>
        <v>0.19021331332404312</v>
      </c>
      <c r="V132" s="395" t="str">
        <f t="shared" ref="V132:V163" si="53">IF(G132&gt;T132,"Yes","No")</f>
        <v>Yes</v>
      </c>
      <c r="W132" s="396">
        <f t="shared" si="36"/>
        <v>1</v>
      </c>
      <c r="X132" s="394">
        <f>SUM($W$4:W132)/COUNT($W$4:W132)</f>
        <v>0.53488372093023251</v>
      </c>
      <c r="Z132" s="464">
        <v>2082.21</v>
      </c>
      <c r="AA132" s="465">
        <f t="shared" si="41"/>
        <v>8.4171578289737869E-3</v>
      </c>
      <c r="AB132" s="465">
        <f t="shared" si="42"/>
        <v>0.38547987863302446</v>
      </c>
    </row>
    <row r="133" spans="1:28" x14ac:dyDescent="0.15">
      <c r="A133" s="384">
        <f t="shared" ref="A133:A196" si="54">A132+1</f>
        <v>131</v>
      </c>
      <c r="B133" s="401">
        <f t="shared" si="48"/>
        <v>38653</v>
      </c>
      <c r="C133" s="372"/>
      <c r="D133" s="390">
        <v>30347.43</v>
      </c>
      <c r="E133" s="387">
        <f>D133+SUM(Holdings_Old!$E$32:$E$35)</f>
        <v>30347.43</v>
      </c>
      <c r="F133" s="387">
        <f t="shared" si="49"/>
        <v>-103.06999999999971</v>
      </c>
      <c r="G133" s="388">
        <f t="shared" si="45"/>
        <v>-3.384837687394282E-3</v>
      </c>
      <c r="H133" s="387">
        <f t="shared" si="46"/>
        <v>7491.5800000000017</v>
      </c>
      <c r="I133" s="388">
        <f t="shared" si="47"/>
        <v>0.32777516478275803</v>
      </c>
      <c r="K133" s="372"/>
      <c r="L133" s="369">
        <v>1198.4100000000001</v>
      </c>
      <c r="M133" s="394">
        <f t="shared" si="39"/>
        <v>1.5954696123229306E-2</v>
      </c>
      <c r="N133" s="394">
        <f t="shared" si="50"/>
        <v>0.28850206433855163</v>
      </c>
      <c r="O133" s="395" t="str">
        <f t="shared" si="51"/>
        <v>No</v>
      </c>
      <c r="P133" s="396">
        <f t="shared" si="35"/>
        <v>0</v>
      </c>
      <c r="Q133" s="394">
        <f>SUM($P$4:P133)/COUNT($P$4:P133)</f>
        <v>0.5461538461538461</v>
      </c>
      <c r="S133" s="369">
        <v>10402.77</v>
      </c>
      <c r="T133" s="394">
        <f t="shared" si="40"/>
        <v>1.8359859112187626E-2</v>
      </c>
      <c r="U133" s="394">
        <f t="shared" si="52"/>
        <v>0.21206546207012256</v>
      </c>
      <c r="V133" s="395" t="str">
        <f t="shared" si="53"/>
        <v>No</v>
      </c>
      <c r="W133" s="396">
        <f t="shared" si="36"/>
        <v>0</v>
      </c>
      <c r="X133" s="394">
        <f>SUM($W$4:W133)/COUNT($W$4:W133)</f>
        <v>0.53076923076923077</v>
      </c>
      <c r="Z133" s="464">
        <v>2089.88</v>
      </c>
      <c r="AA133" s="465">
        <f t="shared" si="41"/>
        <v>3.6835861896735711E-3</v>
      </c>
      <c r="AB133" s="465">
        <f t="shared" si="42"/>
        <v>0.39058341318002765</v>
      </c>
    </row>
    <row r="134" spans="1:28" x14ac:dyDescent="0.15">
      <c r="A134" s="384">
        <f t="shared" si="54"/>
        <v>132</v>
      </c>
      <c r="B134" s="401">
        <f t="shared" si="48"/>
        <v>38660</v>
      </c>
      <c r="C134" s="372"/>
      <c r="D134" s="390">
        <v>31059.33</v>
      </c>
      <c r="E134" s="387">
        <f>D134+SUM(Holdings_Old!$E$32:$E$35)</f>
        <v>31059.33</v>
      </c>
      <c r="F134" s="387">
        <f t="shared" si="49"/>
        <v>711.90000000000146</v>
      </c>
      <c r="G134" s="388">
        <f t="shared" si="45"/>
        <v>2.3458329090799479E-2</v>
      </c>
      <c r="H134" s="387">
        <f t="shared" si="46"/>
        <v>8203.4800000000032</v>
      </c>
      <c r="I134" s="388">
        <f t="shared" si="47"/>
        <v>0.35892255155682262</v>
      </c>
      <c r="K134" s="372"/>
      <c r="L134" s="369">
        <v>1220.1400000000001</v>
      </c>
      <c r="M134" s="394">
        <f t="shared" si="39"/>
        <v>1.8132358708622176E-2</v>
      </c>
      <c r="N134" s="394">
        <f t="shared" si="50"/>
        <v>0.31186564596593835</v>
      </c>
      <c r="O134" s="395" t="str">
        <f t="shared" si="51"/>
        <v>Yes</v>
      </c>
      <c r="P134" s="396">
        <f t="shared" ref="P134:P197" si="55">IF(O134="Yes",1,0)</f>
        <v>1</v>
      </c>
      <c r="Q134" s="394">
        <f>SUM($P$4:P134)/COUNT($P$4:P134)</f>
        <v>0.54961832061068705</v>
      </c>
      <c r="S134" s="369">
        <v>10530.76</v>
      </c>
      <c r="T134" s="394">
        <f t="shared" si="40"/>
        <v>1.2303453791634222E-2</v>
      </c>
      <c r="U134" s="394">
        <f t="shared" si="52"/>
        <v>0.22697805347513822</v>
      </c>
      <c r="V134" s="395" t="str">
        <f t="shared" si="53"/>
        <v>Yes</v>
      </c>
      <c r="W134" s="396">
        <f t="shared" ref="W134:W197" si="56">IF(V134="Yes",1,0)</f>
        <v>1</v>
      </c>
      <c r="X134" s="394">
        <f>SUM($W$4:W134)/COUNT($W$4:W134)</f>
        <v>0.53435114503816794</v>
      </c>
      <c r="Z134" s="464">
        <v>2169.4299999999998</v>
      </c>
      <c r="AA134" s="465">
        <f t="shared" si="41"/>
        <v>3.8064386471950318E-2</v>
      </c>
      <c r="AB134" s="465">
        <f t="shared" si="42"/>
        <v>0.4435151176407961</v>
      </c>
    </row>
    <row r="135" spans="1:28" x14ac:dyDescent="0.15">
      <c r="A135" s="384">
        <f t="shared" si="54"/>
        <v>133</v>
      </c>
      <c r="B135" s="401">
        <f t="shared" si="48"/>
        <v>38667</v>
      </c>
      <c r="C135" s="372"/>
      <c r="D135" s="390">
        <v>31460.76</v>
      </c>
      <c r="E135" s="387">
        <f>D135+SUM(Holdings_Old!$E$32:$E$35)</f>
        <v>31460.76</v>
      </c>
      <c r="F135" s="387">
        <f t="shared" si="49"/>
        <v>401.42999999999665</v>
      </c>
      <c r="G135" s="388">
        <f t="shared" si="45"/>
        <v>1.2924618786045894E-2</v>
      </c>
      <c r="H135" s="387">
        <f t="shared" si="46"/>
        <v>8604.91</v>
      </c>
      <c r="I135" s="388">
        <f t="shared" si="47"/>
        <v>0.3764861074954553</v>
      </c>
      <c r="K135" s="372"/>
      <c r="L135" s="369">
        <v>1234.72</v>
      </c>
      <c r="M135" s="394">
        <f t="shared" si="39"/>
        <v>1.1949448423951292E-2</v>
      </c>
      <c r="N135" s="394">
        <f t="shared" si="50"/>
        <v>0.32754171684156197</v>
      </c>
      <c r="O135" s="395" t="str">
        <f t="shared" si="51"/>
        <v>Yes</v>
      </c>
      <c r="P135" s="396">
        <f t="shared" si="55"/>
        <v>1</v>
      </c>
      <c r="Q135" s="394">
        <f>SUM($P$4:P135)/COUNT($P$4:P135)</f>
        <v>0.55303030303030298</v>
      </c>
      <c r="S135" s="369">
        <v>10686.04</v>
      </c>
      <c r="T135" s="394">
        <f t="shared" si="40"/>
        <v>1.4745374502884934E-2</v>
      </c>
      <c r="U135" s="394">
        <f t="shared" si="52"/>
        <v>0.24507030438045008</v>
      </c>
      <c r="V135" s="395" t="str">
        <f t="shared" si="53"/>
        <v>No</v>
      </c>
      <c r="W135" s="396">
        <f t="shared" si="56"/>
        <v>0</v>
      </c>
      <c r="X135" s="394">
        <f>SUM($W$4:W135)/COUNT($W$4:W135)</f>
        <v>0.53030303030303028</v>
      </c>
      <c r="Z135" s="464">
        <v>2202.4699999999998</v>
      </c>
      <c r="AA135" s="465">
        <f t="shared" si="41"/>
        <v>1.5229806907805177E-2</v>
      </c>
      <c r="AB135" s="465">
        <f t="shared" si="42"/>
        <v>0.46549957415096332</v>
      </c>
    </row>
    <row r="136" spans="1:28" x14ac:dyDescent="0.15">
      <c r="A136" s="384">
        <f t="shared" si="54"/>
        <v>134</v>
      </c>
      <c r="B136" s="401">
        <f t="shared" si="48"/>
        <v>38674</v>
      </c>
      <c r="C136" s="372"/>
      <c r="D136" s="390">
        <v>31518.32</v>
      </c>
      <c r="E136" s="387">
        <f>D136+SUM(Holdings_Old!$E$32:$E$35)</f>
        <v>31518.32</v>
      </c>
      <c r="F136" s="387">
        <f t="shared" si="49"/>
        <v>57.56000000000131</v>
      </c>
      <c r="G136" s="388">
        <f t="shared" si="45"/>
        <v>1.8295807221440086E-3</v>
      </c>
      <c r="H136" s="387">
        <f t="shared" si="46"/>
        <v>8662.4700000000012</v>
      </c>
      <c r="I136" s="388">
        <f t="shared" si="47"/>
        <v>0.37900449994202812</v>
      </c>
      <c r="K136" s="372"/>
      <c r="L136" s="369">
        <v>1248.27</v>
      </c>
      <c r="M136" s="394">
        <f t="shared" si="39"/>
        <v>1.0974147984968319E-2</v>
      </c>
      <c r="N136" s="394">
        <f t="shared" si="50"/>
        <v>0.34211035609840001</v>
      </c>
      <c r="O136" s="395" t="str">
        <f t="shared" si="51"/>
        <v>No</v>
      </c>
      <c r="P136" s="396">
        <f t="shared" si="55"/>
        <v>0</v>
      </c>
      <c r="Q136" s="394">
        <f>SUM($P$4:P136)/COUNT($P$4:P136)</f>
        <v>0.54887218045112784</v>
      </c>
      <c r="S136" s="369">
        <v>10766.33</v>
      </c>
      <c r="T136" s="394">
        <f t="shared" si="40"/>
        <v>7.5135410311022444E-3</v>
      </c>
      <c r="U136" s="394">
        <f t="shared" si="52"/>
        <v>0.25442519119901941</v>
      </c>
      <c r="V136" s="395" t="str">
        <f t="shared" si="53"/>
        <v>No</v>
      </c>
      <c r="W136" s="396">
        <f t="shared" si="56"/>
        <v>0</v>
      </c>
      <c r="X136" s="394">
        <f>SUM($W$4:W136)/COUNT($W$4:W136)</f>
        <v>0.52631578947368418</v>
      </c>
      <c r="Z136" s="464">
        <v>2227.0700000000002</v>
      </c>
      <c r="AA136" s="465">
        <f t="shared" si="41"/>
        <v>1.1169278128646543E-2</v>
      </c>
      <c r="AB136" s="465">
        <f t="shared" si="42"/>
        <v>0.48186814649206866</v>
      </c>
    </row>
    <row r="137" spans="1:28" x14ac:dyDescent="0.15">
      <c r="A137" s="384">
        <f t="shared" si="54"/>
        <v>135</v>
      </c>
      <c r="B137" s="401">
        <f t="shared" si="48"/>
        <v>38681</v>
      </c>
      <c r="C137" s="372"/>
      <c r="D137" s="390">
        <v>31868.43</v>
      </c>
      <c r="E137" s="387">
        <f>D137+SUM(Holdings_Old!$E$32:$E$35)</f>
        <v>31868.43</v>
      </c>
      <c r="F137" s="387">
        <f t="shared" si="49"/>
        <v>350.11000000000058</v>
      </c>
      <c r="G137" s="388">
        <f t="shared" ref="G137:G168" si="57">(E137/E136)-1</f>
        <v>1.1108142819794997E-2</v>
      </c>
      <c r="H137" s="387">
        <f t="shared" si="46"/>
        <v>9012.5800000000017</v>
      </c>
      <c r="I137" s="388">
        <f t="shared" si="47"/>
        <v>0.39432267887652395</v>
      </c>
      <c r="K137" s="372"/>
      <c r="L137" s="369">
        <v>1268.25</v>
      </c>
      <c r="M137" s="394">
        <f t="shared" si="39"/>
        <v>1.6006152515080974E-2</v>
      </c>
      <c r="N137" s="394">
        <f t="shared" si="50"/>
        <v>0.3635923791501805</v>
      </c>
      <c r="O137" s="395" t="str">
        <f t="shared" si="51"/>
        <v>No</v>
      </c>
      <c r="P137" s="396">
        <f t="shared" si="55"/>
        <v>0</v>
      </c>
      <c r="Q137" s="394">
        <f>SUM($P$4:P137)/COUNT($P$4:P137)</f>
        <v>0.54477611940298509</v>
      </c>
      <c r="S137" s="369">
        <v>10931.62</v>
      </c>
      <c r="T137" s="394">
        <f t="shared" si="40"/>
        <v>1.535249244635839E-2</v>
      </c>
      <c r="U137" s="394">
        <f t="shared" si="52"/>
        <v>0.27368374447142396</v>
      </c>
      <c r="V137" s="395" t="str">
        <f t="shared" si="53"/>
        <v>No</v>
      </c>
      <c r="W137" s="396">
        <f t="shared" si="56"/>
        <v>0</v>
      </c>
      <c r="X137" s="394">
        <f>SUM($W$4:W137)/COUNT($W$4:W137)</f>
        <v>0.52238805970149249</v>
      </c>
      <c r="Z137" s="464">
        <v>2263.0100000000002</v>
      </c>
      <c r="AA137" s="465">
        <f t="shared" si="41"/>
        <v>1.6137795399336463E-2</v>
      </c>
      <c r="AB137" s="465">
        <f t="shared" si="42"/>
        <v>0.50578223144895129</v>
      </c>
    </row>
    <row r="138" spans="1:28" x14ac:dyDescent="0.15">
      <c r="A138" s="384">
        <f t="shared" si="54"/>
        <v>136</v>
      </c>
      <c r="B138" s="401">
        <f t="shared" si="48"/>
        <v>38688</v>
      </c>
      <c r="C138" s="372"/>
      <c r="D138" s="390">
        <v>31846.799999999999</v>
      </c>
      <c r="E138" s="387">
        <f>D138+SUM(Holdings_Old!$E$32:$E$35)</f>
        <v>31846.799999999999</v>
      </c>
      <c r="F138" s="387">
        <f t="shared" ref="F138:F169" si="58">E138-E137</f>
        <v>-21.630000000001019</v>
      </c>
      <c r="G138" s="388">
        <f t="shared" si="57"/>
        <v>-6.7872813313996083E-4</v>
      </c>
      <c r="H138" s="387">
        <f t="shared" si="46"/>
        <v>8990.9500000000007</v>
      </c>
      <c r="I138" s="388">
        <f t="shared" si="47"/>
        <v>0.39337631284769548</v>
      </c>
      <c r="K138" s="372"/>
      <c r="L138" s="369">
        <v>1265.08</v>
      </c>
      <c r="M138" s="394">
        <f t="shared" si="39"/>
        <v>-2.4995071949537317E-3</v>
      </c>
      <c r="N138" s="394">
        <f t="shared" si="50"/>
        <v>0.36018407018751053</v>
      </c>
      <c r="O138" s="395" t="str">
        <f t="shared" si="51"/>
        <v>Yes</v>
      </c>
      <c r="P138" s="396">
        <f t="shared" si="55"/>
        <v>1</v>
      </c>
      <c r="Q138" s="394">
        <f>SUM($P$4:P138)/COUNT($P$4:P138)</f>
        <v>0.54814814814814816</v>
      </c>
      <c r="S138" s="369">
        <v>10877.51</v>
      </c>
      <c r="T138" s="394">
        <f t="shared" si="40"/>
        <v>-4.9498610452980429E-3</v>
      </c>
      <c r="U138" s="394">
        <f t="shared" si="52"/>
        <v>0.26737918692063545</v>
      </c>
      <c r="V138" s="395" t="str">
        <f t="shared" si="53"/>
        <v>Yes</v>
      </c>
      <c r="W138" s="396">
        <f t="shared" si="56"/>
        <v>1</v>
      </c>
      <c r="X138" s="394">
        <f>SUM($W$4:W138)/COUNT($W$4:W138)</f>
        <v>0.52592592592592591</v>
      </c>
      <c r="Z138" s="464">
        <v>2273.37</v>
      </c>
      <c r="AA138" s="465">
        <f t="shared" si="41"/>
        <v>4.5779735838549218E-3</v>
      </c>
      <c r="AB138" s="465">
        <f t="shared" si="42"/>
        <v>0.51267566272756282</v>
      </c>
    </row>
    <row r="139" spans="1:28" x14ac:dyDescent="0.15">
      <c r="A139" s="384">
        <f t="shared" si="54"/>
        <v>137</v>
      </c>
      <c r="B139" s="401">
        <f t="shared" si="48"/>
        <v>38695</v>
      </c>
      <c r="C139" s="372"/>
      <c r="D139" s="390">
        <v>31568.63</v>
      </c>
      <c r="E139" s="387">
        <f>D139+SUM(Holdings_Old!$E$32:$E$35)</f>
        <v>31568.63</v>
      </c>
      <c r="F139" s="387">
        <f t="shared" si="58"/>
        <v>-278.16999999999825</v>
      </c>
      <c r="G139" s="388">
        <f t="shared" si="57"/>
        <v>-8.73462953891746E-3</v>
      </c>
      <c r="H139" s="387">
        <f t="shared" si="46"/>
        <v>8712.7800000000025</v>
      </c>
      <c r="I139" s="388">
        <f t="shared" si="47"/>
        <v>0.38120568694666801</v>
      </c>
      <c r="K139" s="372"/>
      <c r="L139" s="369">
        <v>1259.3699999999999</v>
      </c>
      <c r="M139" s="394">
        <f t="shared" si="39"/>
        <v>-4.5135485502892925E-3</v>
      </c>
      <c r="N139" s="394">
        <f t="shared" si="50"/>
        <v>0.3540448133493892</v>
      </c>
      <c r="O139" s="395" t="str">
        <f t="shared" si="51"/>
        <v>No</v>
      </c>
      <c r="P139" s="396">
        <f t="shared" si="55"/>
        <v>0</v>
      </c>
      <c r="Q139" s="394">
        <f>SUM($P$4:P139)/COUNT($P$4:P139)</f>
        <v>0.54411764705882348</v>
      </c>
      <c r="S139" s="369">
        <v>10778.58</v>
      </c>
      <c r="T139" s="394">
        <f t="shared" si="40"/>
        <v>-9.0949123466675941E-3</v>
      </c>
      <c r="U139" s="394">
        <f t="shared" si="52"/>
        <v>0.25585248430560137</v>
      </c>
      <c r="V139" s="395" t="str">
        <f t="shared" si="53"/>
        <v>Yes</v>
      </c>
      <c r="W139" s="396">
        <f t="shared" si="56"/>
        <v>1</v>
      </c>
      <c r="X139" s="394">
        <f>SUM($W$4:W139)/COUNT($W$4:W139)</f>
        <v>0.52941176470588236</v>
      </c>
      <c r="Z139" s="464">
        <v>2256.73</v>
      </c>
      <c r="AA139" s="465">
        <f t="shared" si="41"/>
        <v>-7.3195300369055527E-3</v>
      </c>
      <c r="AB139" s="465">
        <f t="shared" si="42"/>
        <v>0.50160358777813263</v>
      </c>
    </row>
    <row r="140" spans="1:28" x14ac:dyDescent="0.15">
      <c r="A140" s="384">
        <f t="shared" si="54"/>
        <v>138</v>
      </c>
      <c r="B140" s="401">
        <f t="shared" si="48"/>
        <v>38702</v>
      </c>
      <c r="C140" s="372"/>
      <c r="D140" s="390">
        <v>31871.23</v>
      </c>
      <c r="E140" s="387">
        <f>D140+SUM(Holdings_Old!$E$32:$E$35)</f>
        <v>31871.23</v>
      </c>
      <c r="F140" s="387">
        <f t="shared" si="58"/>
        <v>302.59999999999854</v>
      </c>
      <c r="G140" s="388">
        <f t="shared" si="57"/>
        <v>9.5854650645275097E-3</v>
      </c>
      <c r="H140" s="387">
        <f t="shared" si="46"/>
        <v>9015.380000000001</v>
      </c>
      <c r="I140" s="388">
        <f t="shared" si="47"/>
        <v>0.39444518580582222</v>
      </c>
      <c r="K140" s="372"/>
      <c r="L140" s="369">
        <v>1267.32</v>
      </c>
      <c r="M140" s="394">
        <f t="shared" si="39"/>
        <v>6.3126801495987372E-3</v>
      </c>
      <c r="N140" s="394">
        <f t="shared" si="50"/>
        <v>0.36259246516428689</v>
      </c>
      <c r="O140" s="395" t="str">
        <f t="shared" si="51"/>
        <v>Yes</v>
      </c>
      <c r="P140" s="396">
        <f t="shared" si="55"/>
        <v>1</v>
      </c>
      <c r="Q140" s="394">
        <f>SUM($P$4:P140)/COUNT($P$4:P140)</f>
        <v>0.54744525547445255</v>
      </c>
      <c r="S140" s="369">
        <v>10875.59</v>
      </c>
      <c r="T140" s="394">
        <f t="shared" si="40"/>
        <v>9.0002579189467635E-3</v>
      </c>
      <c r="U140" s="394">
        <f t="shared" si="52"/>
        <v>0.26715548057250182</v>
      </c>
      <c r="V140" s="395" t="str">
        <f t="shared" si="53"/>
        <v>Yes</v>
      </c>
      <c r="W140" s="396">
        <f t="shared" si="56"/>
        <v>1</v>
      </c>
      <c r="X140" s="394">
        <f>SUM($W$4:W140)/COUNT($W$4:W140)</f>
        <v>0.53284671532846717</v>
      </c>
      <c r="Z140" s="464">
        <v>2252.48</v>
      </c>
      <c r="AA140" s="465">
        <f t="shared" si="41"/>
        <v>-1.8832558613569583E-3</v>
      </c>
      <c r="AB140" s="465">
        <f t="shared" si="42"/>
        <v>0.49877568402001482</v>
      </c>
    </row>
    <row r="141" spans="1:28" x14ac:dyDescent="0.15">
      <c r="A141" s="384">
        <f t="shared" si="54"/>
        <v>139</v>
      </c>
      <c r="B141" s="401">
        <f t="shared" si="48"/>
        <v>38709</v>
      </c>
      <c r="C141" s="372"/>
      <c r="D141" s="390">
        <v>31761.119999999999</v>
      </c>
      <c r="E141" s="387">
        <f>D141+SUM(Holdings_Old!$E$32:$E$35)</f>
        <v>31761.119999999999</v>
      </c>
      <c r="F141" s="387">
        <f t="shared" si="58"/>
        <v>-110.11000000000058</v>
      </c>
      <c r="G141" s="388">
        <f t="shared" si="57"/>
        <v>-3.4548399920555362E-3</v>
      </c>
      <c r="H141" s="387">
        <f t="shared" si="46"/>
        <v>8905.27</v>
      </c>
      <c r="I141" s="388">
        <f t="shared" si="47"/>
        <v>0.38962760081117098</v>
      </c>
      <c r="K141" s="372"/>
      <c r="L141" s="369">
        <v>1268.6600000000001</v>
      </c>
      <c r="M141" s="394">
        <f t="shared" si="39"/>
        <v>1.0573493671686141E-3</v>
      </c>
      <c r="N141" s="394">
        <f t="shared" si="50"/>
        <v>0.36403320144503692</v>
      </c>
      <c r="O141" s="395" t="str">
        <f t="shared" si="51"/>
        <v>No</v>
      </c>
      <c r="P141" s="396">
        <f t="shared" si="55"/>
        <v>0</v>
      </c>
      <c r="Q141" s="394">
        <f>SUM($P$4:P141)/COUNT($P$4:P141)</f>
        <v>0.54347826086956519</v>
      </c>
      <c r="S141" s="369">
        <v>10883.27</v>
      </c>
      <c r="T141" s="394">
        <f t="shared" si="40"/>
        <v>7.0616858487682066E-4</v>
      </c>
      <c r="U141" s="394">
        <f t="shared" si="52"/>
        <v>0.26805030596503654</v>
      </c>
      <c r="V141" s="395" t="str">
        <f t="shared" si="53"/>
        <v>No</v>
      </c>
      <c r="W141" s="396">
        <f t="shared" si="56"/>
        <v>0</v>
      </c>
      <c r="X141" s="394">
        <f>SUM($W$4:W141)/COUNT($W$4:W141)</f>
        <v>0.52898550724637683</v>
      </c>
      <c r="Z141" s="464">
        <v>2249.42</v>
      </c>
      <c r="AA141" s="465">
        <f t="shared" si="41"/>
        <v>-1.3585026282142421E-3</v>
      </c>
      <c r="AB141" s="465">
        <f t="shared" si="42"/>
        <v>0.49673959331417006</v>
      </c>
    </row>
    <row r="142" spans="1:28" x14ac:dyDescent="0.15">
      <c r="A142" s="384">
        <f t="shared" si="54"/>
        <v>140</v>
      </c>
      <c r="B142" s="401">
        <f t="shared" si="48"/>
        <v>38716</v>
      </c>
      <c r="C142" s="372"/>
      <c r="D142" s="390">
        <v>31322.33</v>
      </c>
      <c r="E142" s="387">
        <f>D142+SUM(Holdings_Old!$E$32:$E$35)</f>
        <v>31322.33</v>
      </c>
      <c r="F142" s="387">
        <f t="shared" si="58"/>
        <v>-438.78999999999724</v>
      </c>
      <c r="G142" s="388">
        <f t="shared" si="57"/>
        <v>-1.3815318855254333E-2</v>
      </c>
      <c r="H142" s="387">
        <f t="shared" si="46"/>
        <v>8466.4800000000032</v>
      </c>
      <c r="I142" s="388">
        <f t="shared" si="47"/>
        <v>0.37042945241590242</v>
      </c>
      <c r="K142" s="372"/>
      <c r="L142" s="369">
        <v>1248.29</v>
      </c>
      <c r="M142" s="394">
        <f t="shared" si="39"/>
        <v>-1.6056311383664701E-2</v>
      </c>
      <c r="N142" s="394">
        <f t="shared" si="50"/>
        <v>0.3421318596249785</v>
      </c>
      <c r="O142" s="395" t="str">
        <f t="shared" si="51"/>
        <v>Yes</v>
      </c>
      <c r="P142" s="396">
        <f t="shared" si="55"/>
        <v>1</v>
      </c>
      <c r="Q142" s="394">
        <f>SUM($P$4:P142)/COUNT($P$4:P142)</f>
        <v>0.5467625899280576</v>
      </c>
      <c r="S142" s="369">
        <v>10717.5</v>
      </c>
      <c r="T142" s="394">
        <f t="shared" si="40"/>
        <v>-1.5231635344891803E-2</v>
      </c>
      <c r="U142" s="394">
        <f t="shared" si="52"/>
        <v>0.24873582610559875</v>
      </c>
      <c r="V142" s="395" t="str">
        <f t="shared" si="53"/>
        <v>Yes</v>
      </c>
      <c r="W142" s="396">
        <f t="shared" si="56"/>
        <v>1</v>
      </c>
      <c r="X142" s="394">
        <f>SUM($W$4:W142)/COUNT($W$4:W142)</f>
        <v>0.53237410071942448</v>
      </c>
      <c r="Z142" s="464">
        <v>2205.3200000000002</v>
      </c>
      <c r="AA142" s="465">
        <f t="shared" si="41"/>
        <v>-1.9605053747188128E-2</v>
      </c>
      <c r="AB142" s="465">
        <f t="shared" si="42"/>
        <v>0.46739593314170125</v>
      </c>
    </row>
    <row r="143" spans="1:28" x14ac:dyDescent="0.15">
      <c r="A143" s="384">
        <f t="shared" si="54"/>
        <v>141</v>
      </c>
      <c r="B143" s="401">
        <f t="shared" si="48"/>
        <v>38723</v>
      </c>
      <c r="C143" s="372"/>
      <c r="D143" s="390">
        <v>32066.31</v>
      </c>
      <c r="E143" s="387">
        <f>D143+SUM(Holdings_Old!$E$32:$E$35)</f>
        <v>32066.31</v>
      </c>
      <c r="F143" s="387">
        <f t="shared" si="58"/>
        <v>743.97999999999956</v>
      </c>
      <c r="G143" s="388">
        <f t="shared" si="57"/>
        <v>2.3752383682823064E-2</v>
      </c>
      <c r="H143" s="387">
        <f t="shared" si="46"/>
        <v>9210.4600000000028</v>
      </c>
      <c r="I143" s="388">
        <f t="shared" si="47"/>
        <v>0.40298041857992617</v>
      </c>
      <c r="K143" s="372"/>
      <c r="L143" s="369">
        <v>1285.45</v>
      </c>
      <c r="M143" s="394">
        <f t="shared" si="39"/>
        <v>2.9768723613903925E-2</v>
      </c>
      <c r="N143" s="394">
        <f t="shared" si="50"/>
        <v>0.38208541200756918</v>
      </c>
      <c r="O143" s="395" t="str">
        <f t="shared" si="51"/>
        <v>No</v>
      </c>
      <c r="P143" s="396">
        <f t="shared" si="55"/>
        <v>0</v>
      </c>
      <c r="Q143" s="394">
        <f>SUM($P$4:P143)/COUNT($P$4:P143)</f>
        <v>0.54285714285714282</v>
      </c>
      <c r="S143" s="369">
        <v>10959.31</v>
      </c>
      <c r="T143" s="394">
        <f t="shared" si="40"/>
        <v>2.2562164683928021E-2</v>
      </c>
      <c r="U143" s="394">
        <f t="shared" si="52"/>
        <v>0.27691000946091426</v>
      </c>
      <c r="V143" s="395" t="str">
        <f t="shared" si="53"/>
        <v>Yes</v>
      </c>
      <c r="W143" s="396">
        <f t="shared" si="56"/>
        <v>1</v>
      </c>
      <c r="X143" s="394">
        <f>SUM($W$4:W143)/COUNT($W$4:W143)</f>
        <v>0.5357142857142857</v>
      </c>
      <c r="Z143" s="464">
        <v>2305.62</v>
      </c>
      <c r="AA143" s="465">
        <f t="shared" si="41"/>
        <v>4.5480927937895599E-2</v>
      </c>
      <c r="AB143" s="465">
        <f t="shared" si="42"/>
        <v>0.53413446183327995</v>
      </c>
    </row>
    <row r="144" spans="1:28" x14ac:dyDescent="0.15">
      <c r="A144" s="384">
        <f t="shared" si="54"/>
        <v>142</v>
      </c>
      <c r="B144" s="401">
        <f t="shared" si="48"/>
        <v>38730</v>
      </c>
      <c r="C144" s="372"/>
      <c r="D144" s="390">
        <v>32267.94</v>
      </c>
      <c r="E144" s="387">
        <f>D144+SUM(Holdings_Old!$E$32:$E$35)</f>
        <v>32267.94</v>
      </c>
      <c r="F144" s="387">
        <f t="shared" si="58"/>
        <v>201.62999999999738</v>
      </c>
      <c r="G144" s="388">
        <f t="shared" si="57"/>
        <v>6.2879077761051061E-3</v>
      </c>
      <c r="H144" s="387">
        <f t="shared" si="46"/>
        <v>9412.09</v>
      </c>
      <c r="I144" s="388">
        <f t="shared" si="47"/>
        <v>0.41180223006363792</v>
      </c>
      <c r="K144" s="372"/>
      <c r="L144" s="369">
        <v>1287.6099999999999</v>
      </c>
      <c r="M144" s="394">
        <f t="shared" ref="M144:M202" si="59">(L144/L143)-1</f>
        <v>1.680345404333039E-3</v>
      </c>
      <c r="N144" s="394">
        <f t="shared" si="50"/>
        <v>0.38440779287803184</v>
      </c>
      <c r="O144" s="395" t="str">
        <f t="shared" si="51"/>
        <v>Yes</v>
      </c>
      <c r="P144" s="396">
        <f t="shared" si="55"/>
        <v>1</v>
      </c>
      <c r="Q144" s="394">
        <f>SUM($P$4:P144)/COUNT($P$4:P144)</f>
        <v>0.54609929078014185</v>
      </c>
      <c r="S144" s="369">
        <v>10959.87</v>
      </c>
      <c r="T144" s="394">
        <f t="shared" ref="T144:T202" si="60">(S144/S143)-1</f>
        <v>5.1098107453961816E-5</v>
      </c>
      <c r="U144" s="394">
        <f t="shared" si="52"/>
        <v>0.27697525714578664</v>
      </c>
      <c r="V144" s="395" t="str">
        <f t="shared" si="53"/>
        <v>Yes</v>
      </c>
      <c r="W144" s="396">
        <f t="shared" si="56"/>
        <v>1</v>
      </c>
      <c r="X144" s="394">
        <f>SUM($W$4:W144)/COUNT($W$4:W144)</f>
        <v>0.53900709219858156</v>
      </c>
      <c r="Z144" s="464">
        <v>2317.04</v>
      </c>
      <c r="AA144" s="465">
        <f t="shared" ref="AA144:AA202" si="61">(Z144/Z143)-1</f>
        <v>4.9531145635448581E-3</v>
      </c>
      <c r="AB144" s="465">
        <f t="shared" ref="AB144:AB202" si="62">(Z144/$Z$3)-1</f>
        <v>0.54173320557862215</v>
      </c>
    </row>
    <row r="145" spans="1:28" x14ac:dyDescent="0.15">
      <c r="A145" s="384">
        <f t="shared" si="54"/>
        <v>143</v>
      </c>
      <c r="B145" s="401">
        <f t="shared" si="48"/>
        <v>38737</v>
      </c>
      <c r="C145" s="372"/>
      <c r="D145" s="390">
        <v>31546.68</v>
      </c>
      <c r="E145" s="387">
        <f>D145+SUM(Holdings_Old!$E$32:$E$35)</f>
        <v>31546.68</v>
      </c>
      <c r="F145" s="387">
        <f t="shared" si="58"/>
        <v>-721.2599999999984</v>
      </c>
      <c r="G145" s="388">
        <f t="shared" si="57"/>
        <v>-2.2352217092259319E-2</v>
      </c>
      <c r="H145" s="387">
        <f t="shared" si="46"/>
        <v>8690.8300000000017</v>
      </c>
      <c r="I145" s="388">
        <f t="shared" si="47"/>
        <v>0.38024532012591972</v>
      </c>
      <c r="K145" s="372"/>
      <c r="L145" s="369">
        <v>1261.49</v>
      </c>
      <c r="M145" s="394">
        <f t="shared" si="59"/>
        <v>-2.0285645498248628E-2</v>
      </c>
      <c r="N145" s="394">
        <f t="shared" si="50"/>
        <v>0.35632418716669534</v>
      </c>
      <c r="O145" s="395" t="str">
        <f t="shared" si="51"/>
        <v>No</v>
      </c>
      <c r="P145" s="396">
        <f t="shared" si="55"/>
        <v>0</v>
      </c>
      <c r="Q145" s="394">
        <f>SUM($P$4:P145)/COUNT($P$4:P145)</f>
        <v>0.54225352112676062</v>
      </c>
      <c r="S145" s="369">
        <v>10667.39</v>
      </c>
      <c r="T145" s="394">
        <f t="shared" si="60"/>
        <v>-2.6686447923196299E-2</v>
      </c>
      <c r="U145" s="394">
        <f t="shared" si="52"/>
        <v>0.24289732344675552</v>
      </c>
      <c r="V145" s="395" t="str">
        <f t="shared" si="53"/>
        <v>Yes</v>
      </c>
      <c r="W145" s="396">
        <f t="shared" si="56"/>
        <v>1</v>
      </c>
      <c r="X145" s="394">
        <f>SUM($W$4:W145)/COUNT($W$4:W145)</f>
        <v>0.54225352112676062</v>
      </c>
      <c r="Z145" s="464">
        <v>2247.6999999999998</v>
      </c>
      <c r="AA145" s="465">
        <f t="shared" si="61"/>
        <v>-2.9926112626454504E-2</v>
      </c>
      <c r="AB145" s="465">
        <f t="shared" si="62"/>
        <v>0.49559512402853168</v>
      </c>
    </row>
    <row r="146" spans="1:28" x14ac:dyDescent="0.15">
      <c r="A146" s="384">
        <f t="shared" si="54"/>
        <v>144</v>
      </c>
      <c r="B146" s="401">
        <f t="shared" si="48"/>
        <v>38744</v>
      </c>
      <c r="C146" s="372"/>
      <c r="D146" s="390">
        <v>31530.61</v>
      </c>
      <c r="E146" s="387">
        <f>D146+SUM(Holdings_Old!$E$32:$E$35)</f>
        <v>31530.61</v>
      </c>
      <c r="F146" s="387">
        <f t="shared" si="58"/>
        <v>-16.069999999999709</v>
      </c>
      <c r="G146" s="388">
        <f t="shared" si="57"/>
        <v>-5.0940384217923462E-4</v>
      </c>
      <c r="H146" s="387">
        <f t="shared" si="46"/>
        <v>8674.760000000002</v>
      </c>
      <c r="I146" s="388">
        <f t="shared" si="47"/>
        <v>0.37954221785669762</v>
      </c>
      <c r="K146" s="372"/>
      <c r="L146" s="369">
        <v>1283.72</v>
      </c>
      <c r="M146" s="394">
        <f t="shared" si="59"/>
        <v>1.7622018406804774E-2</v>
      </c>
      <c r="N146" s="394">
        <f t="shared" si="50"/>
        <v>0.38022535695854121</v>
      </c>
      <c r="O146" s="395" t="str">
        <f t="shared" si="51"/>
        <v>No</v>
      </c>
      <c r="P146" s="396">
        <f t="shared" si="55"/>
        <v>0</v>
      </c>
      <c r="Q146" s="394">
        <f>SUM($P$4:P146)/COUNT($P$4:P146)</f>
        <v>0.53846153846153844</v>
      </c>
      <c r="S146" s="369">
        <v>10907.21</v>
      </c>
      <c r="T146" s="394">
        <f t="shared" si="60"/>
        <v>2.2481600466468299E-2</v>
      </c>
      <c r="U146" s="394">
        <f t="shared" si="52"/>
        <v>0.27083964449332831</v>
      </c>
      <c r="V146" s="395" t="str">
        <f t="shared" si="53"/>
        <v>No</v>
      </c>
      <c r="W146" s="396">
        <f t="shared" si="56"/>
        <v>0</v>
      </c>
      <c r="X146" s="394">
        <f>SUM($W$4:W146)/COUNT($W$4:W146)</f>
        <v>0.53846153846153844</v>
      </c>
      <c r="Z146" s="464">
        <v>2304.23</v>
      </c>
      <c r="AA146" s="465">
        <f t="shared" si="61"/>
        <v>2.5150153490234528E-2</v>
      </c>
      <c r="AB146" s="465">
        <f t="shared" si="62"/>
        <v>0.53320957095709565</v>
      </c>
    </row>
    <row r="147" spans="1:28" x14ac:dyDescent="0.15">
      <c r="A147" s="384">
        <f t="shared" si="54"/>
        <v>145</v>
      </c>
      <c r="B147" s="401">
        <f t="shared" si="48"/>
        <v>38751</v>
      </c>
      <c r="C147" s="372"/>
      <c r="D147" s="390">
        <v>31220.77</v>
      </c>
      <c r="E147" s="387">
        <f>D147+SUM(Holdings_Old!$E$32:$E$35)</f>
        <v>31220.77</v>
      </c>
      <c r="F147" s="387">
        <f t="shared" si="58"/>
        <v>-309.84000000000015</v>
      </c>
      <c r="G147" s="388">
        <f t="shared" si="57"/>
        <v>-9.8266414763304999E-3</v>
      </c>
      <c r="H147" s="387">
        <f t="shared" si="46"/>
        <v>8364.9200000000019</v>
      </c>
      <c r="I147" s="388">
        <f t="shared" si="47"/>
        <v>0.36598595108035803</v>
      </c>
      <c r="K147" s="372"/>
      <c r="L147" s="369">
        <v>1264.03</v>
      </c>
      <c r="M147" s="394">
        <f t="shared" si="59"/>
        <v>-1.5338235752344831E-2</v>
      </c>
      <c r="N147" s="394">
        <f t="shared" si="50"/>
        <v>0.35905513504214692</v>
      </c>
      <c r="O147" s="395" t="str">
        <f t="shared" si="51"/>
        <v>Yes</v>
      </c>
      <c r="P147" s="396">
        <f t="shared" si="55"/>
        <v>1</v>
      </c>
      <c r="Q147" s="394">
        <f>SUM($P$4:P147)/COUNT($P$4:P147)</f>
        <v>0.54166666666666663</v>
      </c>
      <c r="S147" s="369">
        <v>10793.62</v>
      </c>
      <c r="T147" s="394">
        <f t="shared" si="60"/>
        <v>-1.0414212250428712E-2</v>
      </c>
      <c r="U147" s="394">
        <f t="shared" si="52"/>
        <v>0.25760485069931538</v>
      </c>
      <c r="V147" s="395" t="str">
        <f t="shared" si="53"/>
        <v>Yes</v>
      </c>
      <c r="W147" s="396">
        <f t="shared" si="56"/>
        <v>1</v>
      </c>
      <c r="X147" s="394">
        <f>SUM($W$4:W147)/COUNT($W$4:W147)</f>
        <v>0.54166666666666663</v>
      </c>
      <c r="Z147" s="464">
        <v>2262.58</v>
      </c>
      <c r="AA147" s="465">
        <f t="shared" si="61"/>
        <v>-1.8075452537290149E-2</v>
      </c>
      <c r="AB147" s="465">
        <f t="shared" si="62"/>
        <v>0.50549611412754158</v>
      </c>
    </row>
    <row r="148" spans="1:28" x14ac:dyDescent="0.15">
      <c r="A148" s="384">
        <f t="shared" si="54"/>
        <v>146</v>
      </c>
      <c r="B148" s="401">
        <f t="shared" si="48"/>
        <v>38758</v>
      </c>
      <c r="C148" s="372"/>
      <c r="D148" s="390">
        <v>31484.98</v>
      </c>
      <c r="E148" s="387">
        <f>D148+SUM(Holdings_Old!$E$32:$E$35)</f>
        <v>31484.98</v>
      </c>
      <c r="F148" s="387">
        <f t="shared" si="58"/>
        <v>264.20999999999913</v>
      </c>
      <c r="G148" s="388">
        <f t="shared" si="57"/>
        <v>8.4626356108450373E-3</v>
      </c>
      <c r="H148" s="387">
        <f t="shared" si="46"/>
        <v>8629.130000000001</v>
      </c>
      <c r="I148" s="388">
        <f t="shared" si="47"/>
        <v>0.37754579243388453</v>
      </c>
      <c r="K148" s="372"/>
      <c r="L148" s="369">
        <v>1266.99</v>
      </c>
      <c r="M148" s="394">
        <f t="shared" si="59"/>
        <v>2.3417165731827172E-3</v>
      </c>
      <c r="N148" s="394">
        <f t="shared" si="50"/>
        <v>0.36223765697574395</v>
      </c>
      <c r="O148" s="395" t="str">
        <f t="shared" si="51"/>
        <v>Yes</v>
      </c>
      <c r="P148" s="396">
        <f t="shared" si="55"/>
        <v>1</v>
      </c>
      <c r="Q148" s="394">
        <f>SUM($P$4:P148)/COUNT($P$4:P148)</f>
        <v>0.54482758620689653</v>
      </c>
      <c r="S148" s="369">
        <v>10919.05</v>
      </c>
      <c r="T148" s="394">
        <f t="shared" si="60"/>
        <v>1.1620753741562018E-2</v>
      </c>
      <c r="U148" s="394">
        <f t="shared" si="52"/>
        <v>0.27221916697348592</v>
      </c>
      <c r="V148" s="395" t="str">
        <f t="shared" si="53"/>
        <v>No</v>
      </c>
      <c r="W148" s="396">
        <f t="shared" si="56"/>
        <v>0</v>
      </c>
      <c r="X148" s="394">
        <f>SUM($W$4:W148)/COUNT($W$4:W148)</f>
        <v>0.53793103448275859</v>
      </c>
      <c r="Z148" s="464">
        <v>2261.88</v>
      </c>
      <c r="AA148" s="465">
        <f t="shared" si="61"/>
        <v>-3.0938132574309662E-4</v>
      </c>
      <c r="AB148" s="465">
        <f t="shared" si="62"/>
        <v>0.50503034174385175</v>
      </c>
    </row>
    <row r="149" spans="1:28" x14ac:dyDescent="0.15">
      <c r="A149" s="384">
        <f t="shared" si="54"/>
        <v>147</v>
      </c>
      <c r="B149" s="401">
        <f t="shared" si="48"/>
        <v>38765</v>
      </c>
      <c r="C149" s="372"/>
      <c r="D149" s="390">
        <v>31942.639999999999</v>
      </c>
      <c r="E149" s="387">
        <f>D149+SUM(Holdings_Old!$E$32:$E$35)</f>
        <v>31942.639999999999</v>
      </c>
      <c r="F149" s="387">
        <f t="shared" si="58"/>
        <v>457.65999999999985</v>
      </c>
      <c r="G149" s="388">
        <f t="shared" si="57"/>
        <v>1.4535819936998484E-2</v>
      </c>
      <c r="H149" s="387">
        <f t="shared" si="46"/>
        <v>9086.7900000000009</v>
      </c>
      <c r="I149" s="388">
        <f t="shared" si="47"/>
        <v>0.39756955002767347</v>
      </c>
      <c r="K149" s="372"/>
      <c r="L149" s="369">
        <v>1287.24</v>
      </c>
      <c r="M149" s="394">
        <f t="shared" si="59"/>
        <v>1.598276229488782E-2</v>
      </c>
      <c r="N149" s="394">
        <f t="shared" si="50"/>
        <v>0.38400997763633238</v>
      </c>
      <c r="O149" s="395" t="str">
        <f t="shared" si="51"/>
        <v>No</v>
      </c>
      <c r="P149" s="396">
        <f t="shared" si="55"/>
        <v>0</v>
      </c>
      <c r="Q149" s="394">
        <f>SUM($P$4:P149)/COUNT($P$4:P149)</f>
        <v>0.54109589041095896</v>
      </c>
      <c r="S149" s="369">
        <v>11115.32</v>
      </c>
      <c r="T149" s="394">
        <f t="shared" si="60"/>
        <v>1.7975006983208308E-2</v>
      </c>
      <c r="U149" s="394">
        <f t="shared" si="52"/>
        <v>0.2950873153840059</v>
      </c>
      <c r="V149" s="395" t="str">
        <f t="shared" si="53"/>
        <v>No</v>
      </c>
      <c r="W149" s="396">
        <f t="shared" si="56"/>
        <v>0</v>
      </c>
      <c r="X149" s="394">
        <f>SUM($W$4:W149)/COUNT($W$4:W149)</f>
        <v>0.53424657534246578</v>
      </c>
      <c r="Z149" s="464">
        <v>2282.36</v>
      </c>
      <c r="AA149" s="465">
        <f t="shared" si="61"/>
        <v>9.0544149114895056E-3</v>
      </c>
      <c r="AB149" s="465">
        <f t="shared" si="62"/>
        <v>0.51865751091238144</v>
      </c>
    </row>
    <row r="150" spans="1:28" x14ac:dyDescent="0.15">
      <c r="A150" s="384">
        <f t="shared" si="54"/>
        <v>148</v>
      </c>
      <c r="B150" s="401">
        <f t="shared" si="48"/>
        <v>38772</v>
      </c>
      <c r="C150" s="372"/>
      <c r="D150" s="390">
        <v>32066.76</v>
      </c>
      <c r="E150" s="387">
        <f>D150+SUM(Holdings_Old!$E$32:$E$35)</f>
        <v>32066.76</v>
      </c>
      <c r="F150" s="387">
        <f t="shared" si="58"/>
        <v>124.11999999999898</v>
      </c>
      <c r="G150" s="388">
        <f t="shared" si="57"/>
        <v>3.8857151443962845E-3</v>
      </c>
      <c r="H150" s="387">
        <f t="shared" si="46"/>
        <v>9210.91</v>
      </c>
      <c r="I150" s="388">
        <f t="shared" si="47"/>
        <v>0.40300010719356316</v>
      </c>
      <c r="K150" s="372"/>
      <c r="L150" s="369">
        <v>1289.43</v>
      </c>
      <c r="M150" s="394">
        <f t="shared" si="59"/>
        <v>1.7013144401976099E-3</v>
      </c>
      <c r="N150" s="394">
        <f t="shared" si="50"/>
        <v>0.38636461379666276</v>
      </c>
      <c r="O150" s="395" t="str">
        <f t="shared" si="51"/>
        <v>Yes</v>
      </c>
      <c r="P150" s="396">
        <f t="shared" si="55"/>
        <v>1</v>
      </c>
      <c r="Q150" s="394">
        <f>SUM($P$4:P150)/COUNT($P$4:P150)</f>
        <v>0.54421768707482998</v>
      </c>
      <c r="S150" s="369">
        <v>11061.85</v>
      </c>
      <c r="T150" s="394">
        <f t="shared" si="60"/>
        <v>-4.810477791012735E-3</v>
      </c>
      <c r="U150" s="394">
        <f t="shared" si="52"/>
        <v>0.28885732661592889</v>
      </c>
      <c r="V150" s="395" t="str">
        <f t="shared" si="53"/>
        <v>Yes</v>
      </c>
      <c r="W150" s="396">
        <f t="shared" si="56"/>
        <v>1</v>
      </c>
      <c r="X150" s="394">
        <f>SUM($W$4:W150)/COUNT($W$4:W150)</f>
        <v>0.5374149659863946</v>
      </c>
      <c r="Z150" s="464">
        <v>2287.04</v>
      </c>
      <c r="AA150" s="465">
        <f t="shared" si="61"/>
        <v>2.0505091221365568E-3</v>
      </c>
      <c r="AB150" s="465">
        <f t="shared" si="62"/>
        <v>0.52177153199190873</v>
      </c>
    </row>
    <row r="151" spans="1:28" x14ac:dyDescent="0.15">
      <c r="A151" s="384">
        <f t="shared" si="54"/>
        <v>149</v>
      </c>
      <c r="B151" s="401">
        <f t="shared" si="48"/>
        <v>38779</v>
      </c>
      <c r="C151" s="372"/>
      <c r="D151" s="390">
        <v>32061.17</v>
      </c>
      <c r="E151" s="387">
        <f>D151+SUM(Holdings_Old!$E$32:$E$35)</f>
        <v>32061.17</v>
      </c>
      <c r="F151" s="387">
        <f t="shared" si="58"/>
        <v>-5.5900000000001455</v>
      </c>
      <c r="G151" s="388">
        <f t="shared" si="57"/>
        <v>-1.7432381693693877E-4</v>
      </c>
      <c r="H151" s="387">
        <f t="shared" si="46"/>
        <v>9205.32</v>
      </c>
      <c r="I151" s="388">
        <f t="shared" si="47"/>
        <v>0.40275553085971416</v>
      </c>
      <c r="K151" s="372"/>
      <c r="L151" s="369">
        <v>1287.23</v>
      </c>
      <c r="M151" s="394">
        <f t="shared" si="59"/>
        <v>-1.706180250188094E-3</v>
      </c>
      <c r="N151" s="394">
        <f t="shared" si="50"/>
        <v>0.38399922587304314</v>
      </c>
      <c r="O151" s="395" t="str">
        <f t="shared" si="51"/>
        <v>Yes</v>
      </c>
      <c r="P151" s="396">
        <f t="shared" si="55"/>
        <v>1</v>
      </c>
      <c r="Q151" s="394">
        <f>SUM($P$4:P151)/COUNT($P$4:P151)</f>
        <v>0.54729729729729726</v>
      </c>
      <c r="S151" s="369">
        <v>11021.59</v>
      </c>
      <c r="T151" s="394">
        <f t="shared" si="60"/>
        <v>-3.6395358823343438E-3</v>
      </c>
      <c r="U151" s="394">
        <f t="shared" si="52"/>
        <v>0.28416648412850054</v>
      </c>
      <c r="V151" s="395" t="str">
        <f t="shared" si="53"/>
        <v>Yes</v>
      </c>
      <c r="W151" s="396">
        <f t="shared" si="56"/>
        <v>1</v>
      </c>
      <c r="X151" s="394">
        <f>SUM($W$4:W151)/COUNT($W$4:W151)</f>
        <v>0.54054054054054057</v>
      </c>
      <c r="Z151" s="464">
        <v>2302.6</v>
      </c>
      <c r="AA151" s="465">
        <f t="shared" si="61"/>
        <v>6.8035539387154564E-3</v>
      </c>
      <c r="AB151" s="465">
        <f t="shared" si="62"/>
        <v>0.53212498669221753</v>
      </c>
    </row>
    <row r="152" spans="1:28" x14ac:dyDescent="0.15">
      <c r="A152" s="384">
        <f t="shared" si="54"/>
        <v>150</v>
      </c>
      <c r="B152" s="401">
        <f t="shared" si="48"/>
        <v>38786</v>
      </c>
      <c r="C152" s="372"/>
      <c r="D152" s="390">
        <v>31907.45</v>
      </c>
      <c r="E152" s="387">
        <f>D152+SUM(Holdings_Old!$E$32:$E$35)</f>
        <v>31907.45</v>
      </c>
      <c r="F152" s="387">
        <f t="shared" si="58"/>
        <v>-153.71999999999753</v>
      </c>
      <c r="G152" s="388">
        <f t="shared" si="57"/>
        <v>-4.7945848513949452E-3</v>
      </c>
      <c r="H152" s="387">
        <f t="shared" si="46"/>
        <v>9051.6000000000022</v>
      </c>
      <c r="I152" s="388">
        <f t="shared" si="47"/>
        <v>0.39602990044124375</v>
      </c>
      <c r="K152" s="372"/>
      <c r="L152" s="369">
        <v>1281.58</v>
      </c>
      <c r="M152" s="394">
        <f t="shared" si="59"/>
        <v>-4.3892699828314008E-3</v>
      </c>
      <c r="N152" s="394">
        <f t="shared" si="50"/>
        <v>0.37792447961465658</v>
      </c>
      <c r="O152" s="395" t="str">
        <f t="shared" si="51"/>
        <v>No</v>
      </c>
      <c r="P152" s="396">
        <f t="shared" si="55"/>
        <v>0</v>
      </c>
      <c r="Q152" s="394">
        <f>SUM($P$4:P152)/COUNT($P$4:P152)</f>
        <v>0.5436241610738255</v>
      </c>
      <c r="S152" s="369">
        <v>11076.34</v>
      </c>
      <c r="T152" s="394">
        <f t="shared" si="60"/>
        <v>4.9675228347270117E-3</v>
      </c>
      <c r="U152" s="394">
        <f t="shared" si="52"/>
        <v>0.29054561046200011</v>
      </c>
      <c r="V152" s="395" t="str">
        <f t="shared" si="53"/>
        <v>No</v>
      </c>
      <c r="W152" s="396">
        <f t="shared" si="56"/>
        <v>0</v>
      </c>
      <c r="X152" s="394">
        <f>SUM($W$4:W152)/COUNT($W$4:W152)</f>
        <v>0.53691275167785235</v>
      </c>
      <c r="Z152" s="464">
        <v>2262.04</v>
      </c>
      <c r="AA152" s="465">
        <f t="shared" si="61"/>
        <v>-1.7614870146790529E-2</v>
      </c>
      <c r="AB152" s="465">
        <f t="shared" si="62"/>
        <v>0.50513680400298089</v>
      </c>
    </row>
    <row r="153" spans="1:28" x14ac:dyDescent="0.15">
      <c r="A153" s="384">
        <f t="shared" si="54"/>
        <v>151</v>
      </c>
      <c r="B153" s="401">
        <f t="shared" si="48"/>
        <v>38793</v>
      </c>
      <c r="C153" s="372"/>
      <c r="D153" s="390">
        <v>32342.92</v>
      </c>
      <c r="E153" s="387">
        <f>D153+SUM(Holdings_Old!$E$32:$E$35)</f>
        <v>32342.92</v>
      </c>
      <c r="F153" s="387">
        <f t="shared" si="58"/>
        <v>435.46999999999753</v>
      </c>
      <c r="G153" s="388">
        <f t="shared" si="57"/>
        <v>1.3647909814165526E-2</v>
      </c>
      <c r="H153" s="387">
        <f t="shared" si="46"/>
        <v>9487.07</v>
      </c>
      <c r="I153" s="388">
        <f t="shared" si="47"/>
        <v>0.41508279062034448</v>
      </c>
      <c r="K153" s="372"/>
      <c r="L153" s="369">
        <v>1307.25</v>
      </c>
      <c r="M153" s="394">
        <f t="shared" si="59"/>
        <v>2.0029963014404073E-2</v>
      </c>
      <c r="N153" s="394">
        <f t="shared" si="50"/>
        <v>0.40552425597798036</v>
      </c>
      <c r="O153" s="395" t="str">
        <f t="shared" si="51"/>
        <v>No</v>
      </c>
      <c r="P153" s="396">
        <f t="shared" si="55"/>
        <v>0</v>
      </c>
      <c r="Q153" s="394">
        <f>SUM($P$4:P153)/COUNT($P$4:P153)</f>
        <v>0.54</v>
      </c>
      <c r="S153" s="369">
        <v>11279.65</v>
      </c>
      <c r="T153" s="394">
        <f t="shared" si="60"/>
        <v>1.8355341204766118E-2</v>
      </c>
      <c r="U153" s="394">
        <f t="shared" si="52"/>
        <v>0.31423401548234353</v>
      </c>
      <c r="V153" s="395" t="str">
        <f t="shared" si="53"/>
        <v>No</v>
      </c>
      <c r="W153" s="396">
        <f t="shared" si="56"/>
        <v>0</v>
      </c>
      <c r="X153" s="394">
        <f>SUM($W$4:W153)/COUNT($W$4:W153)</f>
        <v>0.53333333333333333</v>
      </c>
      <c r="Z153" s="464">
        <v>2306.48</v>
      </c>
      <c r="AA153" s="465">
        <f t="shared" si="61"/>
        <v>1.9645983271737055E-2</v>
      </c>
      <c r="AB153" s="465">
        <f t="shared" si="62"/>
        <v>0.53470669647609914</v>
      </c>
    </row>
    <row r="154" spans="1:28" x14ac:dyDescent="0.15">
      <c r="A154" s="384">
        <f t="shared" si="54"/>
        <v>152</v>
      </c>
      <c r="B154" s="401">
        <f t="shared" si="48"/>
        <v>38800</v>
      </c>
      <c r="C154" s="372"/>
      <c r="D154" s="390">
        <v>32583.79</v>
      </c>
      <c r="E154" s="387">
        <f>D154+SUM(Holdings_Old!$E$32:$E$35)</f>
        <v>32583.79</v>
      </c>
      <c r="F154" s="387">
        <f t="shared" si="58"/>
        <v>240.87000000000262</v>
      </c>
      <c r="G154" s="388">
        <f t="shared" si="57"/>
        <v>7.4473795192271375E-3</v>
      </c>
      <c r="H154" s="387">
        <f t="shared" si="46"/>
        <v>9727.9400000000023</v>
      </c>
      <c r="I154" s="388">
        <f t="shared" si="47"/>
        <v>0.42562144921322131</v>
      </c>
      <c r="K154" s="372"/>
      <c r="L154" s="369">
        <v>1302.95</v>
      </c>
      <c r="M154" s="394">
        <f t="shared" si="59"/>
        <v>-3.2893478676611076E-3</v>
      </c>
      <c r="N154" s="394">
        <f t="shared" si="50"/>
        <v>0.4009009977636333</v>
      </c>
      <c r="O154" s="395" t="str">
        <f t="shared" si="51"/>
        <v>Yes</v>
      </c>
      <c r="P154" s="396">
        <f t="shared" si="55"/>
        <v>1</v>
      </c>
      <c r="Q154" s="394">
        <f>SUM($P$4:P154)/COUNT($P$4:P154)</f>
        <v>0.54304635761589404</v>
      </c>
      <c r="S154" s="369">
        <v>11279.97</v>
      </c>
      <c r="T154" s="394">
        <f t="shared" si="60"/>
        <v>2.8369674590855709E-5</v>
      </c>
      <c r="U154" s="394">
        <f t="shared" si="52"/>
        <v>0.31427129987369895</v>
      </c>
      <c r="V154" s="395" t="str">
        <f t="shared" si="53"/>
        <v>Yes</v>
      </c>
      <c r="W154" s="396">
        <f t="shared" si="56"/>
        <v>1</v>
      </c>
      <c r="X154" s="394">
        <f>SUM($W$4:W154)/COUNT($W$4:W154)</f>
        <v>0.53642384105960261</v>
      </c>
      <c r="Z154" s="464">
        <v>2312.8200000000002</v>
      </c>
      <c r="AA154" s="465">
        <f t="shared" si="61"/>
        <v>2.7487773577052899E-3</v>
      </c>
      <c r="AB154" s="465">
        <f t="shared" si="62"/>
        <v>0.53892526349409131</v>
      </c>
    </row>
    <row r="155" spans="1:28" x14ac:dyDescent="0.15">
      <c r="A155" s="384">
        <f t="shared" si="54"/>
        <v>153</v>
      </c>
      <c r="B155" s="401">
        <f t="shared" si="48"/>
        <v>38807</v>
      </c>
      <c r="C155" s="372"/>
      <c r="D155" s="390">
        <v>32541.29</v>
      </c>
      <c r="E155" s="387">
        <f>D155+SUM(Holdings_Old!$E$32:$E$35)</f>
        <v>32541.29</v>
      </c>
      <c r="F155" s="387">
        <f t="shared" si="58"/>
        <v>-42.5</v>
      </c>
      <c r="G155" s="388">
        <f t="shared" si="57"/>
        <v>-1.3043295454580051E-3</v>
      </c>
      <c r="H155" s="387">
        <f t="shared" si="46"/>
        <v>9685.4400000000023</v>
      </c>
      <c r="I155" s="388">
        <f t="shared" si="47"/>
        <v>0.42376196903637364</v>
      </c>
      <c r="K155" s="372"/>
      <c r="L155" s="369">
        <v>1294.83</v>
      </c>
      <c r="M155" s="394">
        <f t="shared" si="59"/>
        <v>-6.2320119728309642E-3</v>
      </c>
      <c r="N155" s="394">
        <f t="shared" si="50"/>
        <v>0.39217056597281941</v>
      </c>
      <c r="O155" s="395" t="str">
        <f t="shared" si="51"/>
        <v>Yes</v>
      </c>
      <c r="P155" s="396">
        <f t="shared" si="55"/>
        <v>1</v>
      </c>
      <c r="Q155" s="394">
        <f>SUM($P$4:P155)/COUNT($P$4:P155)</f>
        <v>0.54605263157894735</v>
      </c>
      <c r="S155" s="369">
        <v>11109.32</v>
      </c>
      <c r="T155" s="394">
        <f t="shared" si="60"/>
        <v>-1.5128586334892669E-2</v>
      </c>
      <c r="U155" s="394">
        <f t="shared" si="52"/>
        <v>0.29438823304608808</v>
      </c>
      <c r="V155" s="395" t="str">
        <f t="shared" si="53"/>
        <v>Yes</v>
      </c>
      <c r="W155" s="396">
        <f t="shared" si="56"/>
        <v>1</v>
      </c>
      <c r="X155" s="394">
        <f>SUM($W$4:W155)/COUNT($W$4:W155)</f>
        <v>0.53947368421052633</v>
      </c>
      <c r="Z155" s="464">
        <v>2339.79</v>
      </c>
      <c r="AA155" s="465">
        <f t="shared" si="61"/>
        <v>1.1661089060108321E-2</v>
      </c>
      <c r="AB155" s="465">
        <f t="shared" si="62"/>
        <v>0.55687080804854672</v>
      </c>
    </row>
    <row r="156" spans="1:28" x14ac:dyDescent="0.15">
      <c r="A156" s="384">
        <f t="shared" si="54"/>
        <v>154</v>
      </c>
      <c r="B156" s="401">
        <f t="shared" si="48"/>
        <v>38814</v>
      </c>
      <c r="C156" s="372"/>
      <c r="D156" s="390">
        <v>32541.759999999998</v>
      </c>
      <c r="E156" s="387">
        <f>D156+SUM(Holdings_Old!$E$32:$E$35)</f>
        <v>32541.759999999998</v>
      </c>
      <c r="F156" s="387">
        <f t="shared" si="58"/>
        <v>0.46999999999752617</v>
      </c>
      <c r="G156" s="388">
        <f t="shared" si="57"/>
        <v>1.4443188945501007E-5</v>
      </c>
      <c r="H156" s="387">
        <f t="shared" si="46"/>
        <v>9685.91</v>
      </c>
      <c r="I156" s="388">
        <f t="shared" si="47"/>
        <v>0.42378253269950594</v>
      </c>
      <c r="K156" s="372"/>
      <c r="L156" s="369">
        <v>1295.5</v>
      </c>
      <c r="M156" s="394">
        <f t="shared" si="59"/>
        <v>5.1744244418183705E-4</v>
      </c>
      <c r="N156" s="394">
        <f t="shared" si="50"/>
        <v>0.39289093411319453</v>
      </c>
      <c r="O156" s="395" t="str">
        <f t="shared" si="51"/>
        <v>No</v>
      </c>
      <c r="P156" s="396">
        <f t="shared" si="55"/>
        <v>0</v>
      </c>
      <c r="Q156" s="394">
        <f>SUM($P$4:P156)/COUNT($P$4:P156)</f>
        <v>0.54248366013071891</v>
      </c>
      <c r="S156" s="369">
        <v>11120.04</v>
      </c>
      <c r="T156" s="394">
        <f t="shared" si="60"/>
        <v>9.6495555083486728E-4</v>
      </c>
      <c r="U156" s="394">
        <f t="shared" si="52"/>
        <v>0.29563726015650138</v>
      </c>
      <c r="V156" s="395" t="str">
        <f t="shared" si="53"/>
        <v>No</v>
      </c>
      <c r="W156" s="396">
        <f t="shared" si="56"/>
        <v>0</v>
      </c>
      <c r="X156" s="394">
        <f>SUM($W$4:W156)/COUNT($W$4:W156)</f>
        <v>0.53594771241830064</v>
      </c>
      <c r="Z156" s="464">
        <v>2339.02</v>
      </c>
      <c r="AA156" s="465">
        <f t="shared" si="61"/>
        <v>-3.2908936272058043E-4</v>
      </c>
      <c r="AB156" s="465">
        <f t="shared" si="62"/>
        <v>0.55635845842648779</v>
      </c>
    </row>
    <row r="157" spans="1:28" x14ac:dyDescent="0.15">
      <c r="A157" s="384">
        <f t="shared" si="54"/>
        <v>155</v>
      </c>
      <c r="B157" s="401">
        <f t="shared" si="48"/>
        <v>38821</v>
      </c>
      <c r="C157" s="372"/>
      <c r="D157" s="390">
        <v>32409.87</v>
      </c>
      <c r="E157" s="387">
        <f>D157+SUM(Holdings_Old!$E$32:$E$35)</f>
        <v>32409.87</v>
      </c>
      <c r="F157" s="387">
        <f t="shared" si="58"/>
        <v>-131.88999999999942</v>
      </c>
      <c r="G157" s="388">
        <f t="shared" si="57"/>
        <v>-4.0529461221519014E-3</v>
      </c>
      <c r="H157" s="387">
        <f t="shared" si="46"/>
        <v>9554.02</v>
      </c>
      <c r="I157" s="388">
        <f t="shared" si="47"/>
        <v>0.41801201880481376</v>
      </c>
      <c r="K157" s="372"/>
      <c r="L157" s="369">
        <v>1289.1199999999999</v>
      </c>
      <c r="M157" s="394">
        <f t="shared" si="59"/>
        <v>-4.9247394828252355E-3</v>
      </c>
      <c r="N157" s="394">
        <f t="shared" si="50"/>
        <v>0.38603130913469785</v>
      </c>
      <c r="O157" s="395" t="str">
        <f t="shared" si="51"/>
        <v>Yes</v>
      </c>
      <c r="P157" s="396">
        <f t="shared" si="55"/>
        <v>1</v>
      </c>
      <c r="Q157" s="394">
        <f>SUM($P$4:P157)/COUNT($P$4:P157)</f>
        <v>0.54545454545454541</v>
      </c>
      <c r="S157" s="369">
        <v>11137.65</v>
      </c>
      <c r="T157" s="394">
        <f t="shared" si="60"/>
        <v>1.583627397023557E-3</v>
      </c>
      <c r="U157" s="394">
        <f t="shared" si="52"/>
        <v>0.29768906681828988</v>
      </c>
      <c r="V157" s="395" t="str">
        <f t="shared" si="53"/>
        <v>No</v>
      </c>
      <c r="W157" s="396">
        <f t="shared" si="56"/>
        <v>0</v>
      </c>
      <c r="X157" s="394">
        <f>SUM($W$4:W157)/COUNT($W$4:W157)</f>
        <v>0.53246753246753242</v>
      </c>
      <c r="Z157" s="464">
        <v>2326.11</v>
      </c>
      <c r="AA157" s="465">
        <f t="shared" si="61"/>
        <v>-5.5194055630135574E-3</v>
      </c>
      <c r="AB157" s="465">
        <f t="shared" si="62"/>
        <v>0.54776828489300544</v>
      </c>
    </row>
    <row r="158" spans="1:28" x14ac:dyDescent="0.15">
      <c r="A158" s="384">
        <f t="shared" si="54"/>
        <v>156</v>
      </c>
      <c r="B158" s="401">
        <f t="shared" si="48"/>
        <v>38828</v>
      </c>
      <c r="C158" s="372"/>
      <c r="D158" s="390">
        <v>32778.47</v>
      </c>
      <c r="E158" s="387">
        <f>D158+SUM(Holdings_Old!$E$32:$E$35)</f>
        <v>32778.47</v>
      </c>
      <c r="F158" s="387">
        <f t="shared" si="58"/>
        <v>368.60000000000218</v>
      </c>
      <c r="G158" s="388">
        <f t="shared" si="57"/>
        <v>1.137307863314474E-2</v>
      </c>
      <c r="H158" s="387">
        <f t="shared" si="46"/>
        <v>9922.6200000000026</v>
      </c>
      <c r="I158" s="388">
        <f t="shared" si="47"/>
        <v>0.43413918099742532</v>
      </c>
      <c r="K158" s="372"/>
      <c r="L158" s="369">
        <v>1311.28</v>
      </c>
      <c r="M158" s="394">
        <f t="shared" si="59"/>
        <v>1.7190021099664943E-2</v>
      </c>
      <c r="N158" s="394">
        <f t="shared" si="50"/>
        <v>0.4098572165835197</v>
      </c>
      <c r="O158" s="395" t="str">
        <f t="shared" si="51"/>
        <v>No</v>
      </c>
      <c r="P158" s="396">
        <f t="shared" si="55"/>
        <v>0</v>
      </c>
      <c r="Q158" s="394">
        <f>SUM($P$4:P158)/COUNT($P$4:P158)</f>
        <v>0.54193548387096779</v>
      </c>
      <c r="S158" s="369">
        <v>11347.45</v>
      </c>
      <c r="T158" s="394">
        <f t="shared" si="60"/>
        <v>1.8837007806853379E-2</v>
      </c>
      <c r="U158" s="394">
        <f t="shared" si="52"/>
        <v>0.32213364590081417</v>
      </c>
      <c r="V158" s="395" t="str">
        <f t="shared" si="53"/>
        <v>No</v>
      </c>
      <c r="W158" s="396">
        <f t="shared" si="56"/>
        <v>0</v>
      </c>
      <c r="X158" s="394">
        <f>SUM($W$4:W158)/COUNT($W$4:W158)</f>
        <v>0.52903225806451615</v>
      </c>
      <c r="Z158" s="464">
        <v>2342.86</v>
      </c>
      <c r="AA158" s="465">
        <f t="shared" si="61"/>
        <v>7.2008632437847719E-3</v>
      </c>
      <c r="AB158" s="465">
        <f t="shared" si="62"/>
        <v>0.55891355264558706</v>
      </c>
    </row>
    <row r="159" spans="1:28" x14ac:dyDescent="0.15">
      <c r="A159" s="384">
        <f t="shared" si="54"/>
        <v>157</v>
      </c>
      <c r="B159" s="401">
        <f t="shared" si="48"/>
        <v>38835</v>
      </c>
      <c r="C159" s="372"/>
      <c r="D159" s="390">
        <v>32644.05</v>
      </c>
      <c r="E159" s="387">
        <f>D159+SUM(Holdings_Old!$E$32:$E$35)</f>
        <v>32644.05</v>
      </c>
      <c r="F159" s="387">
        <f t="shared" si="58"/>
        <v>-134.42000000000189</v>
      </c>
      <c r="G159" s="388">
        <f t="shared" si="57"/>
        <v>-4.1008625478858862E-3</v>
      </c>
      <c r="H159" s="387">
        <f t="shared" si="46"/>
        <v>9788.2000000000007</v>
      </c>
      <c r="I159" s="388">
        <f t="shared" si="47"/>
        <v>0.42825797334161719</v>
      </c>
      <c r="K159" s="372"/>
      <c r="L159" s="369">
        <v>1310.6099999999999</v>
      </c>
      <c r="M159" s="394">
        <f t="shared" si="59"/>
        <v>-5.1095113171872875E-4</v>
      </c>
      <c r="N159" s="394">
        <f t="shared" si="50"/>
        <v>0.40913684844314457</v>
      </c>
      <c r="O159" s="395" t="str">
        <f t="shared" si="51"/>
        <v>No</v>
      </c>
      <c r="P159" s="396">
        <f t="shared" si="55"/>
        <v>0</v>
      </c>
      <c r="Q159" s="394">
        <f>SUM($P$4:P159)/COUNT($P$4:P159)</f>
        <v>0.53846153846153844</v>
      </c>
      <c r="S159" s="369">
        <v>11367.14</v>
      </c>
      <c r="T159" s="394">
        <f t="shared" si="60"/>
        <v>1.735191606924813E-3</v>
      </c>
      <c r="U159" s="394">
        <f t="shared" si="52"/>
        <v>0.32442780110641412</v>
      </c>
      <c r="V159" s="395" t="str">
        <f t="shared" si="53"/>
        <v>No</v>
      </c>
      <c r="W159" s="396">
        <f t="shared" si="56"/>
        <v>0</v>
      </c>
      <c r="X159" s="394">
        <f>SUM($W$4:W159)/COUNT($W$4:W159)</f>
        <v>0.52564102564102566</v>
      </c>
      <c r="Z159" s="464">
        <v>2322.5700000000002</v>
      </c>
      <c r="AA159" s="465">
        <f t="shared" si="61"/>
        <v>-8.6603552922496219E-3</v>
      </c>
      <c r="AB159" s="465">
        <f t="shared" si="62"/>
        <v>0.54541280740977327</v>
      </c>
    </row>
    <row r="160" spans="1:28" x14ac:dyDescent="0.15">
      <c r="A160" s="384">
        <f t="shared" si="54"/>
        <v>158</v>
      </c>
      <c r="B160" s="401">
        <f t="shared" si="48"/>
        <v>38842</v>
      </c>
      <c r="C160" s="372"/>
      <c r="D160" s="390">
        <v>32515.87</v>
      </c>
      <c r="E160" s="387">
        <f>D160+SUM(Holdings_Old!$E$32:$E$35)</f>
        <v>32515.87</v>
      </c>
      <c r="F160" s="387">
        <f t="shared" si="58"/>
        <v>-128.18000000000029</v>
      </c>
      <c r="G160" s="388">
        <f t="shared" si="57"/>
        <v>-3.9265961178224229E-3</v>
      </c>
      <c r="H160" s="387">
        <f t="shared" si="46"/>
        <v>9660.02</v>
      </c>
      <c r="I160" s="388">
        <f t="shared" si="47"/>
        <v>0.42264978112824503</v>
      </c>
      <c r="K160" s="372"/>
      <c r="L160" s="369">
        <v>1305.19</v>
      </c>
      <c r="M160" s="394">
        <f t="shared" si="59"/>
        <v>-4.1354788991384561E-3</v>
      </c>
      <c r="N160" s="394">
        <f t="shared" si="50"/>
        <v>0.40330939274040944</v>
      </c>
      <c r="O160" s="395" t="str">
        <f t="shared" si="51"/>
        <v>Yes</v>
      </c>
      <c r="P160" s="396">
        <f t="shared" si="55"/>
        <v>1</v>
      </c>
      <c r="Q160" s="394">
        <f>SUM($P$4:P160)/COUNT($P$4:P160)</f>
        <v>0.54140127388535031</v>
      </c>
      <c r="S160" s="369">
        <v>11577.74</v>
      </c>
      <c r="T160" s="394">
        <f t="shared" si="60"/>
        <v>1.8527087728311686E-2</v>
      </c>
      <c r="U160" s="394">
        <f t="shared" si="52"/>
        <v>0.34896559116732773</v>
      </c>
      <c r="V160" s="395" t="str">
        <f t="shared" si="53"/>
        <v>No</v>
      </c>
      <c r="W160" s="396">
        <f t="shared" si="56"/>
        <v>0</v>
      </c>
      <c r="X160" s="394">
        <f>SUM($W$4:W160)/COUNT($W$4:W160)</f>
        <v>0.52229299363057324</v>
      </c>
      <c r="Z160" s="464">
        <v>2342.5700000000002</v>
      </c>
      <c r="AA160" s="465">
        <f t="shared" si="61"/>
        <v>8.6111505788846188E-3</v>
      </c>
      <c r="AB160" s="465">
        <f t="shared" si="62"/>
        <v>0.55872058980091555</v>
      </c>
    </row>
    <row r="161" spans="1:28" x14ac:dyDescent="0.15">
      <c r="A161" s="384">
        <f t="shared" si="54"/>
        <v>159</v>
      </c>
      <c r="B161" s="401">
        <f t="shared" si="48"/>
        <v>38849</v>
      </c>
      <c r="C161" s="372"/>
      <c r="D161" s="390">
        <v>31987.95</v>
      </c>
      <c r="E161" s="387">
        <f>D161+SUM(Holdings_Old!$E$32:$E$35)</f>
        <v>31987.95</v>
      </c>
      <c r="F161" s="387">
        <f t="shared" si="58"/>
        <v>-527.91999999999825</v>
      </c>
      <c r="G161" s="388">
        <f t="shared" si="57"/>
        <v>-1.6235764259113994E-2</v>
      </c>
      <c r="H161" s="387">
        <f t="shared" si="46"/>
        <v>9132.1000000000022</v>
      </c>
      <c r="I161" s="388">
        <f t="shared" si="47"/>
        <v>0.39955197465856673</v>
      </c>
      <c r="K161" s="372"/>
      <c r="L161" s="369">
        <v>1291.24</v>
      </c>
      <c r="M161" s="394">
        <f t="shared" si="59"/>
        <v>-1.0688099050712996E-2</v>
      </c>
      <c r="N161" s="394">
        <f t="shared" si="50"/>
        <v>0.38831068295200399</v>
      </c>
      <c r="O161" s="395" t="str">
        <f t="shared" si="51"/>
        <v>No</v>
      </c>
      <c r="P161" s="396">
        <f t="shared" si="55"/>
        <v>0</v>
      </c>
      <c r="Q161" s="394">
        <f>SUM($P$4:P161)/COUNT($P$4:P161)</f>
        <v>0.53797468354430378</v>
      </c>
      <c r="S161" s="369">
        <v>11380.99</v>
      </c>
      <c r="T161" s="394">
        <f t="shared" si="60"/>
        <v>-1.6993817446237403E-2</v>
      </c>
      <c r="U161" s="394">
        <f t="shared" si="52"/>
        <v>0.3260415161697745</v>
      </c>
      <c r="V161" s="395" t="str">
        <f t="shared" si="53"/>
        <v>Yes</v>
      </c>
      <c r="W161" s="396">
        <f t="shared" si="56"/>
        <v>1</v>
      </c>
      <c r="X161" s="394">
        <f>SUM($W$4:W161)/COUNT($W$4:W161)</f>
        <v>0.52531645569620256</v>
      </c>
      <c r="Z161" s="464">
        <v>2243.7800000000002</v>
      </c>
      <c r="AA161" s="465">
        <f t="shared" si="61"/>
        <v>-4.2171632010996496E-2</v>
      </c>
      <c r="AB161" s="465">
        <f t="shared" si="62"/>
        <v>0.49298679867986794</v>
      </c>
    </row>
    <row r="162" spans="1:28" x14ac:dyDescent="0.15">
      <c r="A162" s="384">
        <f t="shared" si="54"/>
        <v>160</v>
      </c>
      <c r="B162" s="401">
        <f t="shared" si="48"/>
        <v>38856</v>
      </c>
      <c r="C162" s="372"/>
      <c r="D162" s="390">
        <v>31397.88</v>
      </c>
      <c r="E162" s="387">
        <f>D162+SUM(Holdings_Old!$E$32:$E$35)</f>
        <v>31397.88</v>
      </c>
      <c r="F162" s="387">
        <f t="shared" si="58"/>
        <v>-590.06999999999971</v>
      </c>
      <c r="G162" s="388">
        <f t="shared" si="57"/>
        <v>-1.8446633810544233E-2</v>
      </c>
      <c r="H162" s="387">
        <f t="shared" si="46"/>
        <v>8542.0300000000025</v>
      </c>
      <c r="I162" s="388">
        <f t="shared" si="47"/>
        <v>0.37373495188321604</v>
      </c>
      <c r="K162" s="372"/>
      <c r="L162" s="369">
        <v>1267.03</v>
      </c>
      <c r="M162" s="394">
        <f t="shared" si="59"/>
        <v>-1.8749419162975123E-2</v>
      </c>
      <c r="N162" s="394">
        <f t="shared" si="50"/>
        <v>0.36228066402890069</v>
      </c>
      <c r="O162" s="395" t="str">
        <f t="shared" si="51"/>
        <v>Yes</v>
      </c>
      <c r="P162" s="396">
        <f t="shared" si="55"/>
        <v>1</v>
      </c>
      <c r="Q162" s="394">
        <f>SUM($P$4:P162)/COUNT($P$4:P162)</f>
        <v>0.54088050314465408</v>
      </c>
      <c r="S162" s="369">
        <v>11144.06</v>
      </c>
      <c r="T162" s="394">
        <f t="shared" si="60"/>
        <v>-2.0818048342015949E-2</v>
      </c>
      <c r="U162" s="394">
        <f t="shared" si="52"/>
        <v>0.29843591978263184</v>
      </c>
      <c r="V162" s="395" t="str">
        <f t="shared" si="53"/>
        <v>Yes</v>
      </c>
      <c r="W162" s="396">
        <f t="shared" si="56"/>
        <v>1</v>
      </c>
      <c r="X162" s="394">
        <f>SUM($W$4:W162)/COUNT($W$4:W162)</f>
        <v>0.52830188679245282</v>
      </c>
      <c r="Z162" s="464">
        <v>2193.88</v>
      </c>
      <c r="AA162" s="465">
        <f t="shared" si="61"/>
        <v>-2.2239256968151988E-2</v>
      </c>
      <c r="AB162" s="465">
        <f t="shared" si="62"/>
        <v>0.45978388161396788</v>
      </c>
    </row>
    <row r="163" spans="1:28" x14ac:dyDescent="0.15">
      <c r="A163" s="384">
        <f t="shared" si="54"/>
        <v>161</v>
      </c>
      <c r="B163" s="401">
        <f t="shared" si="48"/>
        <v>38863</v>
      </c>
      <c r="C163" s="372"/>
      <c r="D163" s="390">
        <v>31315.06</v>
      </c>
      <c r="E163" s="387">
        <f>D163+SUM(Holdings_Old!$E$32:$E$35)</f>
        <v>31315.06</v>
      </c>
      <c r="F163" s="387">
        <f t="shared" si="58"/>
        <v>-82.819999999999709</v>
      </c>
      <c r="G163" s="388">
        <f t="shared" si="57"/>
        <v>-2.6377577084821802E-3</v>
      </c>
      <c r="H163" s="387">
        <f t="shared" si="46"/>
        <v>8459.2100000000028</v>
      </c>
      <c r="I163" s="388">
        <f t="shared" si="47"/>
        <v>0.37011137192447463</v>
      </c>
      <c r="K163" s="372"/>
      <c r="L163" s="369">
        <v>1280.1600000000001</v>
      </c>
      <c r="M163" s="394">
        <f t="shared" si="59"/>
        <v>1.0362816981444922E-2</v>
      </c>
      <c r="N163" s="394">
        <f t="shared" si="50"/>
        <v>0.37639772922759329</v>
      </c>
      <c r="O163" s="395" t="str">
        <f t="shared" si="51"/>
        <v>No</v>
      </c>
      <c r="P163" s="396">
        <f t="shared" si="55"/>
        <v>0</v>
      </c>
      <c r="Q163" s="394">
        <f>SUM($P$4:P163)/COUNT($P$4:P163)</f>
        <v>0.53749999999999998</v>
      </c>
      <c r="S163" s="369">
        <v>11278.61</v>
      </c>
      <c r="T163" s="394">
        <f t="shared" si="60"/>
        <v>1.207369665992486E-2</v>
      </c>
      <c r="U163" s="394">
        <f t="shared" si="52"/>
        <v>0.3141128412104377</v>
      </c>
      <c r="V163" s="395" t="str">
        <f t="shared" si="53"/>
        <v>No</v>
      </c>
      <c r="W163" s="396">
        <f t="shared" si="56"/>
        <v>0</v>
      </c>
      <c r="X163" s="394">
        <f>SUM($W$4:W163)/COUNT($W$4:W163)</f>
        <v>0.52500000000000002</v>
      </c>
      <c r="Z163" s="464">
        <v>2210.37</v>
      </c>
      <c r="AA163" s="465">
        <f t="shared" si="61"/>
        <v>7.5163637026636199E-3</v>
      </c>
      <c r="AB163" s="465">
        <f t="shared" si="62"/>
        <v>0.47075614819546452</v>
      </c>
    </row>
    <row r="164" spans="1:28" x14ac:dyDescent="0.15">
      <c r="A164" s="384">
        <f t="shared" si="54"/>
        <v>162</v>
      </c>
      <c r="B164" s="401">
        <f t="shared" si="48"/>
        <v>38870</v>
      </c>
      <c r="C164" s="372"/>
      <c r="D164" s="390">
        <v>31364.7</v>
      </c>
      <c r="E164" s="387">
        <f>D164+SUM(Holdings_Old!$E$32:$E$35)</f>
        <v>31364.7</v>
      </c>
      <c r="F164" s="387">
        <f t="shared" si="58"/>
        <v>49.639999999999418</v>
      </c>
      <c r="G164" s="388">
        <f t="shared" si="57"/>
        <v>1.5851797825072733E-3</v>
      </c>
      <c r="H164" s="387">
        <f t="shared" si="46"/>
        <v>8508.8500000000022</v>
      </c>
      <c r="I164" s="388">
        <f t="shared" si="47"/>
        <v>0.37228324477103247</v>
      </c>
      <c r="K164" s="372"/>
      <c r="L164" s="369">
        <v>1288.22</v>
      </c>
      <c r="M164" s="394">
        <f t="shared" si="59"/>
        <v>6.2960879890012755E-3</v>
      </c>
      <c r="N164" s="394">
        <f t="shared" si="50"/>
        <v>0.38506365043867197</v>
      </c>
      <c r="O164" s="395" t="str">
        <f t="shared" si="51"/>
        <v>No</v>
      </c>
      <c r="P164" s="396">
        <f t="shared" si="55"/>
        <v>0</v>
      </c>
      <c r="Q164" s="394">
        <f>SUM($P$4:P164)/COUNT($P$4:P164)</f>
        <v>0.53416149068322982</v>
      </c>
      <c r="S164" s="369">
        <v>11247.87</v>
      </c>
      <c r="T164" s="394">
        <f t="shared" si="60"/>
        <v>-2.7255131616396033E-3</v>
      </c>
      <c r="U164" s="394">
        <f t="shared" ref="U164:U195" si="63">(S164/$S$3)-1</f>
        <v>0.31053120936583922</v>
      </c>
      <c r="V164" s="395" t="str">
        <f t="shared" ref="V164:V195" si="64">IF(G164&gt;T164,"Yes","No")</f>
        <v>Yes</v>
      </c>
      <c r="W164" s="396">
        <f t="shared" si="56"/>
        <v>1</v>
      </c>
      <c r="X164" s="394">
        <f>SUM($W$4:W164)/COUNT($W$4:W164)</f>
        <v>0.52795031055900621</v>
      </c>
      <c r="Z164" s="464">
        <v>2219.41</v>
      </c>
      <c r="AA164" s="465">
        <f t="shared" si="61"/>
        <v>4.0898130177300374E-3</v>
      </c>
      <c r="AB164" s="465">
        <f t="shared" si="62"/>
        <v>0.47677126583626084</v>
      </c>
    </row>
    <row r="165" spans="1:28" x14ac:dyDescent="0.15">
      <c r="A165" s="384">
        <f t="shared" si="54"/>
        <v>163</v>
      </c>
      <c r="B165" s="401">
        <f t="shared" si="48"/>
        <v>38877</v>
      </c>
      <c r="C165" s="372"/>
      <c r="D165" s="390">
        <v>30726.39</v>
      </c>
      <c r="E165" s="387">
        <f>D165+SUM(Holdings_Old!$E$32:$E$35)</f>
        <v>30726.39</v>
      </c>
      <c r="F165" s="387">
        <f t="shared" si="58"/>
        <v>-638.31000000000131</v>
      </c>
      <c r="G165" s="388">
        <f t="shared" si="57"/>
        <v>-2.0351222871572205E-2</v>
      </c>
      <c r="H165" s="387">
        <f t="shared" si="46"/>
        <v>7870.5400000000009</v>
      </c>
      <c r="I165" s="388">
        <f t="shared" si="47"/>
        <v>0.34435560261377285</v>
      </c>
      <c r="K165" s="372"/>
      <c r="L165" s="369">
        <v>1252.3</v>
      </c>
      <c r="M165" s="394">
        <f t="shared" si="59"/>
        <v>-2.7883436059058297E-2</v>
      </c>
      <c r="N165" s="394">
        <f t="shared" si="50"/>
        <v>0.34644331670393935</v>
      </c>
      <c r="O165" s="395" t="str">
        <f t="shared" si="51"/>
        <v>Yes</v>
      </c>
      <c r="P165" s="396">
        <f t="shared" si="55"/>
        <v>1</v>
      </c>
      <c r="Q165" s="394">
        <f>SUM($P$4:P165)/COUNT($P$4:P165)</f>
        <v>0.53703703703703709</v>
      </c>
      <c r="S165" s="369">
        <v>10891.92</v>
      </c>
      <c r="T165" s="394">
        <f t="shared" si="60"/>
        <v>-3.1645991641084059E-2</v>
      </c>
      <c r="U165" s="394">
        <f t="shared" si="63"/>
        <v>0.26905814966886799</v>
      </c>
      <c r="V165" s="395" t="str">
        <f t="shared" si="64"/>
        <v>Yes</v>
      </c>
      <c r="W165" s="396">
        <f t="shared" si="56"/>
        <v>1</v>
      </c>
      <c r="X165" s="394">
        <f>SUM($W$4:W165)/COUNT($W$4:W165)</f>
        <v>0.53086419753086422</v>
      </c>
      <c r="Z165" s="464">
        <v>2135.06</v>
      </c>
      <c r="AA165" s="465">
        <f t="shared" si="61"/>
        <v>-3.8005596081841508E-2</v>
      </c>
      <c r="AB165" s="465">
        <f t="shared" si="62"/>
        <v>0.42064569360161808</v>
      </c>
    </row>
    <row r="166" spans="1:28" x14ac:dyDescent="0.15">
      <c r="A166" s="384">
        <f t="shared" si="54"/>
        <v>164</v>
      </c>
      <c r="B166" s="401">
        <f t="shared" si="48"/>
        <v>38884</v>
      </c>
      <c r="C166" s="372"/>
      <c r="D166" s="390">
        <v>30675.74</v>
      </c>
      <c r="E166" s="387">
        <f>D166+SUM(Holdings_Old!$E$32:$E$35)</f>
        <v>30675.74</v>
      </c>
      <c r="F166" s="387">
        <f t="shared" si="58"/>
        <v>-50.649999999997817</v>
      </c>
      <c r="G166" s="388">
        <f t="shared" si="57"/>
        <v>-1.6484201365665196E-3</v>
      </c>
      <c r="H166" s="387">
        <f t="shared" si="46"/>
        <v>7819.8900000000031</v>
      </c>
      <c r="I166" s="388">
        <f t="shared" si="47"/>
        <v>0.34213953976771827</v>
      </c>
      <c r="K166" s="372"/>
      <c r="L166" s="369">
        <v>1251.54</v>
      </c>
      <c r="M166" s="394">
        <f t="shared" si="59"/>
        <v>-6.0688333466418776E-4</v>
      </c>
      <c r="N166" s="394">
        <f t="shared" si="50"/>
        <v>0.34562618269396173</v>
      </c>
      <c r="O166" s="395" t="str">
        <f t="shared" si="51"/>
        <v>No</v>
      </c>
      <c r="P166" s="396">
        <f t="shared" si="55"/>
        <v>0</v>
      </c>
      <c r="Q166" s="394">
        <f>SUM($P$4:P166)/COUNT($P$4:P166)</f>
        <v>0.53374233128834359</v>
      </c>
      <c r="S166" s="369">
        <v>11014.54</v>
      </c>
      <c r="T166" s="394">
        <f t="shared" si="60"/>
        <v>1.1257886580143817E-2</v>
      </c>
      <c r="U166" s="394">
        <f t="shared" si="63"/>
        <v>0.2833450623814473</v>
      </c>
      <c r="V166" s="395" t="str">
        <f t="shared" si="64"/>
        <v>No</v>
      </c>
      <c r="W166" s="396">
        <f t="shared" si="56"/>
        <v>0</v>
      </c>
      <c r="X166" s="394">
        <f>SUM($W$4:W166)/COUNT($W$4:W166)</f>
        <v>0.52760736196319014</v>
      </c>
      <c r="Z166" s="464">
        <v>2129.9499999999998</v>
      </c>
      <c r="AA166" s="465">
        <f t="shared" si="61"/>
        <v>-2.3933753618166076E-3</v>
      </c>
      <c r="AB166" s="465">
        <f t="shared" si="62"/>
        <v>0.41724555520068107</v>
      </c>
    </row>
    <row r="167" spans="1:28" x14ac:dyDescent="0.15">
      <c r="A167" s="384">
        <f t="shared" si="54"/>
        <v>165</v>
      </c>
      <c r="B167" s="401">
        <f t="shared" si="48"/>
        <v>38891</v>
      </c>
      <c r="C167" s="372"/>
      <c r="D167" s="390">
        <v>30458.69</v>
      </c>
      <c r="E167" s="387">
        <f>D167+SUM(Holdings_Old!$E$32:$E$35)</f>
        <v>30458.69</v>
      </c>
      <c r="F167" s="387">
        <f t="shared" si="58"/>
        <v>-217.05000000000291</v>
      </c>
      <c r="G167" s="388">
        <f t="shared" si="57"/>
        <v>-7.0756239295287626E-3</v>
      </c>
      <c r="H167" s="387">
        <f t="shared" si="46"/>
        <v>7602.84</v>
      </c>
      <c r="I167" s="388">
        <f t="shared" si="47"/>
        <v>0.33264306512337116</v>
      </c>
      <c r="K167" s="372"/>
      <c r="L167" s="369">
        <v>1244.5</v>
      </c>
      <c r="M167" s="394">
        <f t="shared" si="59"/>
        <v>-5.625069913866132E-3</v>
      </c>
      <c r="N167" s="394">
        <f t="shared" si="50"/>
        <v>0.33805694133837938</v>
      </c>
      <c r="O167" s="395" t="str">
        <f t="shared" si="51"/>
        <v>No</v>
      </c>
      <c r="P167" s="396">
        <f t="shared" si="55"/>
        <v>0</v>
      </c>
      <c r="Q167" s="394">
        <f>SUM($P$4:P167)/COUNT($P$4:P167)</f>
        <v>0.53048780487804881</v>
      </c>
      <c r="S167" s="369">
        <v>10989.09</v>
      </c>
      <c r="T167" s="394">
        <f t="shared" si="60"/>
        <v>-2.3105821940817561E-3</v>
      </c>
      <c r="U167" s="394">
        <f t="shared" si="63"/>
        <v>0.28037978813144604</v>
      </c>
      <c r="V167" s="395" t="str">
        <f t="shared" si="64"/>
        <v>No</v>
      </c>
      <c r="W167" s="396">
        <f t="shared" si="56"/>
        <v>0</v>
      </c>
      <c r="X167" s="394">
        <f>SUM($W$4:W167)/COUNT($W$4:W167)</f>
        <v>0.52439024390243905</v>
      </c>
      <c r="Z167" s="464">
        <v>2121.4699999999998</v>
      </c>
      <c r="AA167" s="465">
        <f t="shared" si="61"/>
        <v>-3.9813141153548504E-3</v>
      </c>
      <c r="AB167" s="465">
        <f t="shared" si="62"/>
        <v>0.41160305546683684</v>
      </c>
    </row>
    <row r="168" spans="1:28" x14ac:dyDescent="0.15">
      <c r="A168" s="384">
        <f t="shared" si="54"/>
        <v>166</v>
      </c>
      <c r="B168" s="401">
        <f t="shared" si="48"/>
        <v>38898</v>
      </c>
      <c r="C168" s="372"/>
      <c r="D168" s="390">
        <v>31110.28</v>
      </c>
      <c r="E168" s="387">
        <f>D168+SUM(Holdings_Old!$E$32:$E$35)</f>
        <v>31110.28</v>
      </c>
      <c r="F168" s="387">
        <f t="shared" si="58"/>
        <v>651.59000000000015</v>
      </c>
      <c r="G168" s="388">
        <f t="shared" si="57"/>
        <v>2.1392581230512464E-2</v>
      </c>
      <c r="H168" s="387">
        <f t="shared" si="46"/>
        <v>8254.43</v>
      </c>
      <c r="I168" s="388">
        <f t="shared" si="47"/>
        <v>0.36115174014530194</v>
      </c>
      <c r="K168" s="372"/>
      <c r="L168" s="369">
        <v>1270.2</v>
      </c>
      <c r="M168" s="394">
        <f t="shared" si="59"/>
        <v>2.0650863800723229E-2</v>
      </c>
      <c r="N168" s="394">
        <f t="shared" si="50"/>
        <v>0.36568897299157066</v>
      </c>
      <c r="O168" s="395" t="str">
        <f t="shared" si="51"/>
        <v>Yes</v>
      </c>
      <c r="P168" s="396">
        <f t="shared" si="55"/>
        <v>1</v>
      </c>
      <c r="Q168" s="394">
        <f>SUM($P$4:P168)/COUNT($P$4:P168)</f>
        <v>0.53333333333333333</v>
      </c>
      <c r="S168" s="369">
        <v>11150.22</v>
      </c>
      <c r="T168" s="394">
        <f t="shared" si="60"/>
        <v>1.4662724575010166E-2</v>
      </c>
      <c r="U168" s="394">
        <f t="shared" si="63"/>
        <v>0.29915364431622748</v>
      </c>
      <c r="V168" s="395" t="str">
        <f t="shared" si="64"/>
        <v>Yes</v>
      </c>
      <c r="W168" s="396">
        <f t="shared" si="56"/>
        <v>1</v>
      </c>
      <c r="X168" s="394">
        <f>SUM($W$4:W168)/COUNT($W$4:W168)</f>
        <v>0.52727272727272723</v>
      </c>
      <c r="Z168" s="464">
        <v>2172.09</v>
      </c>
      <c r="AA168" s="465">
        <f t="shared" si="61"/>
        <v>2.386081349253133E-2</v>
      </c>
      <c r="AB168" s="465">
        <f t="shared" si="62"/>
        <v>0.44528505269881835</v>
      </c>
    </row>
    <row r="169" spans="1:28" x14ac:dyDescent="0.15">
      <c r="A169" s="384">
        <f t="shared" si="54"/>
        <v>167</v>
      </c>
      <c r="B169" s="401">
        <f t="shared" si="48"/>
        <v>38905</v>
      </c>
      <c r="C169" s="372"/>
      <c r="D169" s="390">
        <v>30853.56</v>
      </c>
      <c r="E169" s="387">
        <f>D169+SUM(Holdings_Old!$E$32:$E$35)</f>
        <v>30853.56</v>
      </c>
      <c r="F169" s="387">
        <f t="shared" si="58"/>
        <v>-256.71999999999753</v>
      </c>
      <c r="G169" s="388">
        <f t="shared" ref="G169:G200" si="65">(E169/E168)-1</f>
        <v>-8.2519347302563162E-3</v>
      </c>
      <c r="H169" s="387">
        <f t="shared" ref="H169:H232" si="66">E169-$D$3</f>
        <v>7997.7100000000028</v>
      </c>
      <c r="I169" s="388">
        <f t="shared" ref="I169:I232" si="67">(E169/$D$3)-1</f>
        <v>0.34991960482764828</v>
      </c>
      <c r="K169" s="372"/>
      <c r="L169" s="369">
        <v>1265.48</v>
      </c>
      <c r="M169" s="394">
        <f t="shared" si="59"/>
        <v>-3.715950244056021E-3</v>
      </c>
      <c r="N169" s="394">
        <f t="shared" si="50"/>
        <v>0.36061414071907794</v>
      </c>
      <c r="O169" s="395" t="str">
        <f t="shared" si="51"/>
        <v>No</v>
      </c>
      <c r="P169" s="396">
        <f t="shared" si="55"/>
        <v>0</v>
      </c>
      <c r="Q169" s="394">
        <f>SUM($P$4:P169)/COUNT($P$4:P169)</f>
        <v>0.53012048192771088</v>
      </c>
      <c r="S169" s="369">
        <v>11090.67</v>
      </c>
      <c r="T169" s="394">
        <f t="shared" si="60"/>
        <v>-5.3407017978119864E-3</v>
      </c>
      <c r="U169" s="394">
        <f t="shared" si="63"/>
        <v>0.29221525211239374</v>
      </c>
      <c r="V169" s="395" t="str">
        <f t="shared" si="64"/>
        <v>No</v>
      </c>
      <c r="W169" s="396">
        <f t="shared" si="56"/>
        <v>0</v>
      </c>
      <c r="X169" s="394">
        <f>SUM($W$4:W169)/COUNT($W$4:W169)</f>
        <v>0.52409638554216864</v>
      </c>
      <c r="Z169" s="464">
        <v>2130.06</v>
      </c>
      <c r="AA169" s="465">
        <f t="shared" si="61"/>
        <v>-1.9350026932585807E-2</v>
      </c>
      <c r="AB169" s="465">
        <f t="shared" si="62"/>
        <v>0.41731874800383251</v>
      </c>
    </row>
    <row r="170" spans="1:28" x14ac:dyDescent="0.15">
      <c r="A170" s="384">
        <f t="shared" si="54"/>
        <v>168</v>
      </c>
      <c r="B170" s="401">
        <f t="shared" ref="B170:B201" si="68">B169+7</f>
        <v>38912</v>
      </c>
      <c r="C170" s="372"/>
      <c r="D170" s="390">
        <v>30371.67</v>
      </c>
      <c r="E170" s="387">
        <f>D170+SUM(Holdings_Old!$E$32:$E$35)</f>
        <v>30371.67</v>
      </c>
      <c r="F170" s="387">
        <f t="shared" ref="F170:F201" si="69">E170-E169</f>
        <v>-481.89000000000306</v>
      </c>
      <c r="G170" s="388">
        <f t="shared" si="65"/>
        <v>-1.5618619050767668E-2</v>
      </c>
      <c r="H170" s="387">
        <f t="shared" si="66"/>
        <v>7515.82</v>
      </c>
      <c r="I170" s="388">
        <f t="shared" si="67"/>
        <v>0.32883572477068235</v>
      </c>
      <c r="K170" s="372"/>
      <c r="L170" s="369">
        <v>1236.2</v>
      </c>
      <c r="M170" s="394">
        <f t="shared" si="59"/>
        <v>-2.3137465625691411E-2</v>
      </c>
      <c r="N170" s="394">
        <f t="shared" si="50"/>
        <v>0.32913297780836048</v>
      </c>
      <c r="O170" s="395" t="str">
        <f t="shared" si="51"/>
        <v>Yes</v>
      </c>
      <c r="P170" s="396">
        <f t="shared" si="55"/>
        <v>1</v>
      </c>
      <c r="Q170" s="394">
        <f>SUM($P$4:P170)/COUNT($P$4:P170)</f>
        <v>0.53293413173652693</v>
      </c>
      <c r="S170" s="369">
        <v>10739.35</v>
      </c>
      <c r="T170" s="394">
        <f t="shared" si="60"/>
        <v>-3.1677076317300878E-2</v>
      </c>
      <c r="U170" s="394">
        <f t="shared" si="63"/>
        <v>0.25128165095284927</v>
      </c>
      <c r="V170" s="395" t="str">
        <f t="shared" si="64"/>
        <v>Yes</v>
      </c>
      <c r="W170" s="396">
        <f t="shared" si="56"/>
        <v>1</v>
      </c>
      <c r="X170" s="394">
        <f>SUM($W$4:W170)/COUNT($W$4:W170)</f>
        <v>0.52694610778443118</v>
      </c>
      <c r="Z170" s="464">
        <v>2037.35</v>
      </c>
      <c r="AA170" s="465">
        <f t="shared" si="61"/>
        <v>-4.3524595551299061E-2</v>
      </c>
      <c r="AB170" s="465">
        <f t="shared" si="62"/>
        <v>0.35563052272969209</v>
      </c>
    </row>
    <row r="171" spans="1:28" x14ac:dyDescent="0.15">
      <c r="A171" s="384">
        <f t="shared" si="54"/>
        <v>169</v>
      </c>
      <c r="B171" s="401">
        <f t="shared" si="68"/>
        <v>38919</v>
      </c>
      <c r="C171" s="372"/>
      <c r="D171" s="390">
        <v>30281.86</v>
      </c>
      <c r="E171" s="387">
        <f>D171+SUM(Holdings_Old!$E$32:$E$35)</f>
        <v>30281.86</v>
      </c>
      <c r="F171" s="387">
        <f t="shared" si="69"/>
        <v>-89.809999999997672</v>
      </c>
      <c r="G171" s="388">
        <f t="shared" si="65"/>
        <v>-2.9570319972526127E-3</v>
      </c>
      <c r="H171" s="387">
        <f t="shared" si="66"/>
        <v>7426.010000000002</v>
      </c>
      <c r="I171" s="388">
        <f t="shared" si="67"/>
        <v>0.32490631501344303</v>
      </c>
      <c r="K171" s="372"/>
      <c r="L171" s="369">
        <v>1240.29</v>
      </c>
      <c r="M171" s="394">
        <f t="shared" si="59"/>
        <v>3.3085261284582224E-3</v>
      </c>
      <c r="N171" s="394">
        <f t="shared" si="50"/>
        <v>0.33353044899363482</v>
      </c>
      <c r="O171" s="395" t="str">
        <f t="shared" si="51"/>
        <v>No</v>
      </c>
      <c r="P171" s="396">
        <f t="shared" si="55"/>
        <v>0</v>
      </c>
      <c r="Q171" s="394">
        <f>SUM($P$4:P171)/COUNT($P$4:P171)</f>
        <v>0.52976190476190477</v>
      </c>
      <c r="S171" s="369">
        <v>10868.38</v>
      </c>
      <c r="T171" s="394">
        <f t="shared" si="60"/>
        <v>1.201469362670915E-2</v>
      </c>
      <c r="U171" s="394">
        <f t="shared" si="63"/>
        <v>0.26631541662977054</v>
      </c>
      <c r="V171" s="395" t="str">
        <f t="shared" si="64"/>
        <v>No</v>
      </c>
      <c r="W171" s="396">
        <f t="shared" si="56"/>
        <v>0</v>
      </c>
      <c r="X171" s="394">
        <f>SUM($W$4:W171)/COUNT($W$4:W171)</f>
        <v>0.52380952380952384</v>
      </c>
      <c r="Z171" s="464">
        <v>2020.39</v>
      </c>
      <c r="AA171" s="465">
        <f t="shared" si="61"/>
        <v>-8.3245392298818555E-3</v>
      </c>
      <c r="AB171" s="465">
        <f t="shared" si="62"/>
        <v>0.34434552326200363</v>
      </c>
    </row>
    <row r="172" spans="1:28" x14ac:dyDescent="0.15">
      <c r="A172" s="384">
        <f t="shared" si="54"/>
        <v>170</v>
      </c>
      <c r="B172" s="401">
        <f t="shared" si="68"/>
        <v>38926</v>
      </c>
      <c r="C172" s="372"/>
      <c r="D172" s="390">
        <v>30962.99</v>
      </c>
      <c r="E172" s="387">
        <f>D172+SUM(Holdings_Old!$E$32:$E$35)</f>
        <v>30962.99</v>
      </c>
      <c r="F172" s="387">
        <f t="shared" si="69"/>
        <v>681.13000000000102</v>
      </c>
      <c r="G172" s="388">
        <f t="shared" si="65"/>
        <v>2.2493004062498212E-2</v>
      </c>
      <c r="H172" s="387">
        <f t="shared" si="66"/>
        <v>8107.1400000000031</v>
      </c>
      <c r="I172" s="388">
        <f t="shared" si="67"/>
        <v>0.35470743813946992</v>
      </c>
      <c r="K172" s="372"/>
      <c r="L172" s="369">
        <v>1278.55</v>
      </c>
      <c r="M172" s="394">
        <f t="shared" si="59"/>
        <v>3.0847624345919034E-2</v>
      </c>
      <c r="N172" s="394">
        <f t="shared" si="50"/>
        <v>0.37466669533803532</v>
      </c>
      <c r="O172" s="395" t="str">
        <f t="shared" si="51"/>
        <v>No</v>
      </c>
      <c r="P172" s="396">
        <f t="shared" si="55"/>
        <v>0</v>
      </c>
      <c r="Q172" s="394">
        <f>SUM($P$4:P172)/COUNT($P$4:P172)</f>
        <v>0.52662721893491127</v>
      </c>
      <c r="S172" s="369">
        <v>11219.7</v>
      </c>
      <c r="T172" s="394">
        <f t="shared" si="60"/>
        <v>3.2324964714152582E-2</v>
      </c>
      <c r="U172" s="394">
        <f t="shared" si="63"/>
        <v>0.30724901778931524</v>
      </c>
      <c r="V172" s="395" t="str">
        <f t="shared" si="64"/>
        <v>No</v>
      </c>
      <c r="W172" s="396">
        <f t="shared" si="56"/>
        <v>0</v>
      </c>
      <c r="X172" s="394">
        <f>SUM($W$4:W172)/COUNT($W$4:W172)</f>
        <v>0.52071005917159763</v>
      </c>
      <c r="Z172" s="464">
        <v>2094.14</v>
      </c>
      <c r="AA172" s="465">
        <f t="shared" si="61"/>
        <v>3.6502853409490221E-2</v>
      </c>
      <c r="AB172" s="465">
        <f t="shared" si="62"/>
        <v>0.39341797082934082</v>
      </c>
    </row>
    <row r="173" spans="1:28" x14ac:dyDescent="0.15">
      <c r="A173" s="384">
        <f t="shared" si="54"/>
        <v>171</v>
      </c>
      <c r="B173" s="401">
        <f t="shared" si="68"/>
        <v>38933</v>
      </c>
      <c r="C173" s="372"/>
      <c r="D173" s="390">
        <v>30602.61</v>
      </c>
      <c r="E173" s="387">
        <f>D173+SUM(Holdings_Old!$E$32:$E$35)</f>
        <v>30602.61</v>
      </c>
      <c r="F173" s="387">
        <f t="shared" si="69"/>
        <v>-360.38000000000102</v>
      </c>
      <c r="G173" s="388">
        <f t="shared" si="65"/>
        <v>-1.1639056822354776E-2</v>
      </c>
      <c r="H173" s="387">
        <f t="shared" si="66"/>
        <v>7746.760000000002</v>
      </c>
      <c r="I173" s="388">
        <f t="shared" si="67"/>
        <v>0.33893992128929806</v>
      </c>
      <c r="K173" s="372"/>
      <c r="L173" s="369">
        <v>1279.31</v>
      </c>
      <c r="M173" s="394">
        <f t="shared" si="59"/>
        <v>5.9442337022397318E-4</v>
      </c>
      <c r="N173" s="394">
        <f t="shared" si="50"/>
        <v>0.37548382934801294</v>
      </c>
      <c r="O173" s="395" t="str">
        <f t="shared" si="51"/>
        <v>No</v>
      </c>
      <c r="P173" s="396">
        <f t="shared" si="55"/>
        <v>0</v>
      </c>
      <c r="Q173" s="394">
        <f>SUM($P$4:P173)/COUNT($P$4:P173)</f>
        <v>0.52352941176470591</v>
      </c>
      <c r="S173" s="369">
        <v>11240.35</v>
      </c>
      <c r="T173" s="394">
        <f t="shared" si="60"/>
        <v>1.8405126696792173E-3</v>
      </c>
      <c r="U173" s="394">
        <f t="shared" si="63"/>
        <v>0.30965502616898211</v>
      </c>
      <c r="V173" s="395" t="str">
        <f t="shared" si="64"/>
        <v>No</v>
      </c>
      <c r="W173" s="396">
        <f t="shared" si="56"/>
        <v>0</v>
      </c>
      <c r="X173" s="394">
        <f>SUM($W$4:W173)/COUNT($W$4:W173)</f>
        <v>0.51764705882352946</v>
      </c>
      <c r="Z173" s="464">
        <v>2085.0500000000002</v>
      </c>
      <c r="AA173" s="465">
        <f t="shared" si="61"/>
        <v>-4.340684003934614E-3</v>
      </c>
      <c r="AB173" s="465">
        <f t="shared" si="62"/>
        <v>0.3873695837325668</v>
      </c>
    </row>
    <row r="174" spans="1:28" x14ac:dyDescent="0.15">
      <c r="A174" s="384">
        <f t="shared" si="54"/>
        <v>172</v>
      </c>
      <c r="B174" s="401">
        <f t="shared" si="68"/>
        <v>38940</v>
      </c>
      <c r="C174" s="372"/>
      <c r="D174" s="390">
        <v>30443.433899999996</v>
      </c>
      <c r="E174" s="387">
        <f>D174+SUM(Holdings_Old!$E$32:$E$35)</f>
        <v>30443.433899999996</v>
      </c>
      <c r="F174" s="387">
        <f t="shared" si="69"/>
        <v>-159.17610000000423</v>
      </c>
      <c r="G174" s="388">
        <f t="shared" si="65"/>
        <v>-5.2013896853897457E-3</v>
      </c>
      <c r="H174" s="387">
        <f t="shared" si="66"/>
        <v>7587.5838999999978</v>
      </c>
      <c r="I174" s="388">
        <f t="shared" si="67"/>
        <v>0.33197557299334735</v>
      </c>
      <c r="K174" s="372"/>
      <c r="L174" s="369">
        <v>1266.67</v>
      </c>
      <c r="M174" s="394">
        <f t="shared" si="59"/>
        <v>-9.8803261132953679E-3</v>
      </c>
      <c r="N174" s="394">
        <f t="shared" si="50"/>
        <v>0.36189360055049025</v>
      </c>
      <c r="O174" s="395" t="str">
        <f t="shared" si="51"/>
        <v>Yes</v>
      </c>
      <c r="P174" s="396">
        <f t="shared" si="55"/>
        <v>1</v>
      </c>
      <c r="Q174" s="394">
        <f>SUM($P$4:P174)/COUNT($P$4:P174)</f>
        <v>0.52631578947368418</v>
      </c>
      <c r="S174" s="369">
        <v>11088.02</v>
      </c>
      <c r="T174" s="394">
        <f t="shared" si="60"/>
        <v>-1.3552069108168308E-2</v>
      </c>
      <c r="U174" s="394">
        <f t="shared" si="63"/>
        <v>0.29190649074648012</v>
      </c>
      <c r="V174" s="395" t="str">
        <f t="shared" si="64"/>
        <v>Yes</v>
      </c>
      <c r="W174" s="396">
        <f t="shared" si="56"/>
        <v>1</v>
      </c>
      <c r="X174" s="394">
        <f>SUM($W$4:W174)/COUNT($W$4:W174)</f>
        <v>0.52046783625730997</v>
      </c>
      <c r="Z174" s="468">
        <v>2057.71</v>
      </c>
      <c r="AA174" s="465">
        <f t="shared" si="61"/>
        <v>-1.3112395386201792E-2</v>
      </c>
      <c r="AB174" s="465">
        <f t="shared" si="62"/>
        <v>0.3691778452038752</v>
      </c>
    </row>
    <row r="175" spans="1:28" x14ac:dyDescent="0.15">
      <c r="A175" s="384">
        <f t="shared" si="54"/>
        <v>173</v>
      </c>
      <c r="B175" s="401">
        <f t="shared" si="68"/>
        <v>38947</v>
      </c>
      <c r="C175" s="372"/>
      <c r="D175" s="390">
        <v>31206.778220000004</v>
      </c>
      <c r="E175" s="387">
        <f>D175+SUM(Holdings_Old!$E$32:$E$35)</f>
        <v>31206.778220000004</v>
      </c>
      <c r="F175" s="387">
        <f t="shared" si="69"/>
        <v>763.34432000000743</v>
      </c>
      <c r="G175" s="388">
        <f t="shared" si="65"/>
        <v>2.5074185865741283E-2</v>
      </c>
      <c r="H175" s="387">
        <f t="shared" si="66"/>
        <v>8350.9282200000052</v>
      </c>
      <c r="I175" s="388">
        <f t="shared" si="67"/>
        <v>0.36537377607920973</v>
      </c>
      <c r="K175" s="372"/>
      <c r="L175" s="369">
        <v>1302.3</v>
      </c>
      <c r="M175" s="394">
        <f t="shared" si="59"/>
        <v>2.8128873345069971E-2</v>
      </c>
      <c r="N175" s="394">
        <f t="shared" si="50"/>
        <v>0.40020213314983644</v>
      </c>
      <c r="O175" s="395" t="str">
        <f t="shared" si="51"/>
        <v>No</v>
      </c>
      <c r="P175" s="396">
        <f t="shared" si="55"/>
        <v>0</v>
      </c>
      <c r="Q175" s="394">
        <f>SUM($P$4:P175)/COUNT($P$4:P175)</f>
        <v>0.52325581395348841</v>
      </c>
      <c r="S175" s="369">
        <v>11381.47</v>
      </c>
      <c r="T175" s="394">
        <f t="shared" si="60"/>
        <v>2.6465500603353842E-2</v>
      </c>
      <c r="U175" s="394">
        <f t="shared" si="63"/>
        <v>0.32609744275680774</v>
      </c>
      <c r="V175" s="395" t="str">
        <f t="shared" si="64"/>
        <v>No</v>
      </c>
      <c r="W175" s="396">
        <f t="shared" si="56"/>
        <v>0</v>
      </c>
      <c r="X175" s="394">
        <f>SUM($W$4:W175)/COUNT($W$4:W175)</f>
        <v>0.51744186046511631</v>
      </c>
      <c r="Z175" s="468">
        <v>2163.9499999999998</v>
      </c>
      <c r="AA175" s="465">
        <f t="shared" si="61"/>
        <v>5.1630210282304079E-2</v>
      </c>
      <c r="AB175" s="465">
        <f t="shared" si="62"/>
        <v>0.43986878526562312</v>
      </c>
    </row>
    <row r="176" spans="1:28" x14ac:dyDescent="0.15">
      <c r="A176" s="384">
        <f t="shared" si="54"/>
        <v>174</v>
      </c>
      <c r="B176" s="401">
        <f t="shared" si="68"/>
        <v>38954</v>
      </c>
      <c r="C176" s="372"/>
      <c r="D176" s="390">
        <v>31114.168220000003</v>
      </c>
      <c r="E176" s="387">
        <f>D176+SUM(Holdings_Old!$E$32:$E$35)</f>
        <v>31114.168220000003</v>
      </c>
      <c r="F176" s="387">
        <f t="shared" si="69"/>
        <v>-92.610000000000582</v>
      </c>
      <c r="G176" s="388">
        <f t="shared" si="65"/>
        <v>-2.9676245124415912E-3</v>
      </c>
      <c r="H176" s="387">
        <f t="shared" si="66"/>
        <v>8258.3182200000047</v>
      </c>
      <c r="I176" s="388">
        <f t="shared" si="67"/>
        <v>0.36132185939267214</v>
      </c>
      <c r="K176" s="372"/>
      <c r="L176" s="369">
        <v>1295.0899999999999</v>
      </c>
      <c r="M176" s="394">
        <f t="shared" si="59"/>
        <v>-5.5363587499039912E-3</v>
      </c>
      <c r="N176" s="394">
        <f t="shared" si="50"/>
        <v>0.39245011181833811</v>
      </c>
      <c r="O176" s="395" t="str">
        <f t="shared" si="51"/>
        <v>Yes</v>
      </c>
      <c r="P176" s="396">
        <f t="shared" si="55"/>
        <v>1</v>
      </c>
      <c r="Q176" s="394">
        <f>SUM($P$4:P176)/COUNT($P$4:P176)</f>
        <v>0.52601156069364163</v>
      </c>
      <c r="S176" s="369">
        <v>11284.05</v>
      </c>
      <c r="T176" s="394">
        <f t="shared" si="60"/>
        <v>-8.5595270206748619E-3</v>
      </c>
      <c r="U176" s="394">
        <f t="shared" si="63"/>
        <v>0.31474667586348315</v>
      </c>
      <c r="V176" s="395" t="str">
        <f t="shared" si="64"/>
        <v>Yes</v>
      </c>
      <c r="W176" s="396">
        <f t="shared" si="56"/>
        <v>1</v>
      </c>
      <c r="X176" s="394">
        <f>SUM($W$4:W176)/COUNT($W$4:W176)</f>
        <v>0.52023121387283233</v>
      </c>
      <c r="Z176" s="468">
        <v>2140.29</v>
      </c>
      <c r="AA176" s="465">
        <f t="shared" si="61"/>
        <v>-1.0933709189214103E-2</v>
      </c>
      <c r="AB176" s="465">
        <f t="shared" si="62"/>
        <v>0.42412567869690188</v>
      </c>
    </row>
    <row r="177" spans="1:28" x14ac:dyDescent="0.15">
      <c r="A177" s="384">
        <f t="shared" si="54"/>
        <v>175</v>
      </c>
      <c r="B177" s="401">
        <f t="shared" si="68"/>
        <v>38961</v>
      </c>
      <c r="C177" s="372"/>
      <c r="D177" s="390">
        <v>31461.879700000005</v>
      </c>
      <c r="E177" s="387">
        <f>D177+SUM(Holdings_Old!$E$32:$E$35)</f>
        <v>31461.879700000005</v>
      </c>
      <c r="F177" s="387">
        <f t="shared" si="69"/>
        <v>347.71148000000176</v>
      </c>
      <c r="G177" s="388">
        <f t="shared" si="65"/>
        <v>1.1175342292341739E-2</v>
      </c>
      <c r="H177" s="387">
        <f t="shared" si="66"/>
        <v>8606.0297000000064</v>
      </c>
      <c r="I177" s="388">
        <f t="shared" si="67"/>
        <v>0.3765350971414323</v>
      </c>
      <c r="K177" s="372"/>
      <c r="L177" s="369">
        <v>1310.94</v>
      </c>
      <c r="M177" s="394">
        <f t="shared" si="59"/>
        <v>1.2238531685056842E-2</v>
      </c>
      <c r="N177" s="394">
        <f t="shared" si="50"/>
        <v>0.40949165663168752</v>
      </c>
      <c r="O177" s="395" t="str">
        <f t="shared" si="51"/>
        <v>No</v>
      </c>
      <c r="P177" s="396">
        <f t="shared" si="55"/>
        <v>0</v>
      </c>
      <c r="Q177" s="394">
        <f>SUM($P$4:P177)/COUNT($P$4:P177)</f>
        <v>0.52298850574712641</v>
      </c>
      <c r="S177" s="369">
        <v>11464.15</v>
      </c>
      <c r="T177" s="394">
        <f t="shared" si="60"/>
        <v>1.5960581528795093E-2</v>
      </c>
      <c r="U177" s="394">
        <f t="shared" si="63"/>
        <v>0.33573079737331457</v>
      </c>
      <c r="V177" s="395" t="str">
        <f t="shared" si="64"/>
        <v>No</v>
      </c>
      <c r="W177" s="396">
        <f t="shared" si="56"/>
        <v>0</v>
      </c>
      <c r="X177" s="394">
        <f>SUM($W$4:W177)/COUNT($W$4:W177)</f>
        <v>0.51724137931034486</v>
      </c>
      <c r="Z177" s="468">
        <v>2193.16</v>
      </c>
      <c r="AA177" s="465">
        <f t="shared" si="61"/>
        <v>2.470225997411557E-2</v>
      </c>
      <c r="AB177" s="465">
        <f t="shared" si="62"/>
        <v>0.45930480144788643</v>
      </c>
    </row>
    <row r="178" spans="1:28" x14ac:dyDescent="0.15">
      <c r="A178" s="384">
        <f t="shared" si="54"/>
        <v>176</v>
      </c>
      <c r="B178" s="401">
        <f t="shared" si="68"/>
        <v>38968</v>
      </c>
      <c r="C178" s="372"/>
      <c r="D178" s="390">
        <v>31337.68116</v>
      </c>
      <c r="E178" s="387">
        <f>D178+SUM(Holdings_Old!$E$32:$E$35)</f>
        <v>31337.68116</v>
      </c>
      <c r="F178" s="387">
        <f t="shared" si="69"/>
        <v>-124.19854000000487</v>
      </c>
      <c r="G178" s="388">
        <f t="shared" si="65"/>
        <v>-3.9475880393758933E-3</v>
      </c>
      <c r="H178" s="387">
        <f t="shared" si="66"/>
        <v>8481.8311600000015</v>
      </c>
      <c r="I178" s="388">
        <f t="shared" si="67"/>
        <v>0.37110110365617555</v>
      </c>
      <c r="K178" s="372"/>
      <c r="L178" s="369">
        <v>1298.8599999999999</v>
      </c>
      <c r="M178" s="394">
        <f t="shared" si="59"/>
        <v>-9.2147619265566805E-3</v>
      </c>
      <c r="N178" s="394">
        <f t="shared" si="50"/>
        <v>0.39650352657835874</v>
      </c>
      <c r="O178" s="395" t="str">
        <f t="shared" si="51"/>
        <v>Yes</v>
      </c>
      <c r="P178" s="396">
        <f t="shared" si="55"/>
        <v>1</v>
      </c>
      <c r="Q178" s="394">
        <f>SUM($P$4:P178)/COUNT($P$4:P178)</f>
        <v>0.52571428571428569</v>
      </c>
      <c r="S178" s="369">
        <v>11392.11</v>
      </c>
      <c r="T178" s="394">
        <f t="shared" si="60"/>
        <v>-6.2839373176379887E-3</v>
      </c>
      <c r="U178" s="394">
        <f t="shared" si="63"/>
        <v>0.32733714876938214</v>
      </c>
      <c r="V178" s="395" t="str">
        <f t="shared" si="64"/>
        <v>Yes</v>
      </c>
      <c r="W178" s="396">
        <f t="shared" si="56"/>
        <v>1</v>
      </c>
      <c r="X178" s="394">
        <f>SUM($W$4:W178)/COUNT($W$4:W178)</f>
        <v>0.52</v>
      </c>
      <c r="Z178" s="468">
        <v>2165.79</v>
      </c>
      <c r="AA178" s="465">
        <f t="shared" si="61"/>
        <v>-1.2479709642707282E-2</v>
      </c>
      <c r="AB178" s="465">
        <f t="shared" si="62"/>
        <v>0.4410931012456083</v>
      </c>
    </row>
    <row r="179" spans="1:28" x14ac:dyDescent="0.15">
      <c r="A179" s="384">
        <f t="shared" si="54"/>
        <v>177</v>
      </c>
      <c r="B179" s="401">
        <f t="shared" si="68"/>
        <v>38975</v>
      </c>
      <c r="C179" s="372"/>
      <c r="D179" s="390">
        <f>31836.62388+3.49+9.2+3.42</f>
        <v>31852.73388</v>
      </c>
      <c r="E179" s="387">
        <f>D179+SUM(Holdings_Old!$E$32:$E$35)</f>
        <v>31852.73388</v>
      </c>
      <c r="F179" s="387">
        <f t="shared" si="69"/>
        <v>515.05271999999968</v>
      </c>
      <c r="G179" s="388">
        <f t="shared" si="65"/>
        <v>1.6435572158970846E-2</v>
      </c>
      <c r="H179" s="387">
        <f t="shared" si="66"/>
        <v>8996.8838800000012</v>
      </c>
      <c r="I179" s="388">
        <f t="shared" si="67"/>
        <v>0.39363593478256131</v>
      </c>
      <c r="K179" s="372"/>
      <c r="L179" s="369">
        <v>1319.85</v>
      </c>
      <c r="M179" s="394">
        <f t="shared" si="59"/>
        <v>1.6160325208259607E-2</v>
      </c>
      <c r="N179" s="394">
        <f t="shared" si="50"/>
        <v>0.41907147772234632</v>
      </c>
      <c r="O179" s="395" t="str">
        <f t="shared" si="51"/>
        <v>Yes</v>
      </c>
      <c r="P179" s="396">
        <f t="shared" si="55"/>
        <v>1</v>
      </c>
      <c r="Q179" s="394">
        <f>SUM($P$4:P179)/COUNT($P$4:P179)</f>
        <v>0.52840909090909094</v>
      </c>
      <c r="S179" s="369">
        <v>11560.77</v>
      </c>
      <c r="T179" s="394">
        <f t="shared" si="60"/>
        <v>1.4804983449071329E-2</v>
      </c>
      <c r="U179" s="394">
        <f t="shared" si="63"/>
        <v>0.34698835328825028</v>
      </c>
      <c r="V179" s="395" t="str">
        <f t="shared" si="64"/>
        <v>Yes</v>
      </c>
      <c r="W179" s="396">
        <f t="shared" si="56"/>
        <v>1</v>
      </c>
      <c r="X179" s="394">
        <f>SUM($W$4:W179)/COUNT($W$4:W179)</f>
        <v>0.52272727272727271</v>
      </c>
      <c r="Z179" s="468">
        <v>2235.59</v>
      </c>
      <c r="AA179" s="465">
        <f t="shared" si="61"/>
        <v>3.2228424731853167E-2</v>
      </c>
      <c r="AB179" s="465">
        <f t="shared" si="62"/>
        <v>0.48753726179069523</v>
      </c>
    </row>
    <row r="180" spans="1:28" x14ac:dyDescent="0.15">
      <c r="A180" s="384">
        <f t="shared" si="54"/>
        <v>178</v>
      </c>
      <c r="B180" s="401">
        <f t="shared" si="68"/>
        <v>38982</v>
      </c>
      <c r="C180" s="372"/>
      <c r="D180" s="390">
        <v>31597.782620000002</v>
      </c>
      <c r="E180" s="387">
        <f>D180+SUM(Holdings_Old!$E$32:$E$35)</f>
        <v>31597.782620000002</v>
      </c>
      <c r="F180" s="387">
        <f t="shared" si="69"/>
        <v>-254.951259999998</v>
      </c>
      <c r="G180" s="388">
        <f t="shared" si="65"/>
        <v>-8.0040620990489142E-3</v>
      </c>
      <c r="H180" s="387">
        <f t="shared" si="66"/>
        <v>8741.9326200000032</v>
      </c>
      <c r="I180" s="388">
        <f t="shared" si="67"/>
        <v>0.38248118621709559</v>
      </c>
      <c r="K180" s="372"/>
      <c r="L180" s="369">
        <v>1314.78</v>
      </c>
      <c r="M180" s="394">
        <f t="shared" si="59"/>
        <v>-3.8413456074553043E-3</v>
      </c>
      <c r="N180" s="394">
        <f t="shared" si="50"/>
        <v>0.41362033373473239</v>
      </c>
      <c r="O180" s="395" t="str">
        <f t="shared" si="51"/>
        <v>No</v>
      </c>
      <c r="P180" s="396">
        <f t="shared" si="55"/>
        <v>0</v>
      </c>
      <c r="Q180" s="394">
        <f>SUM($P$4:P180)/COUNT($P$4:P180)</f>
        <v>0.52542372881355937</v>
      </c>
      <c r="S180" s="369">
        <v>11508.1</v>
      </c>
      <c r="T180" s="394">
        <f t="shared" si="60"/>
        <v>-4.5559249081159603E-3</v>
      </c>
      <c r="U180" s="394">
        <f t="shared" si="63"/>
        <v>0.34085157549856215</v>
      </c>
      <c r="V180" s="395" t="str">
        <f t="shared" si="64"/>
        <v>No</v>
      </c>
      <c r="W180" s="396">
        <f t="shared" si="56"/>
        <v>0</v>
      </c>
      <c r="X180" s="394">
        <f>SUM($W$4:W180)/COUNT($W$4:W180)</f>
        <v>0.51977401129943501</v>
      </c>
      <c r="Z180" s="468">
        <v>2218.9299999999998</v>
      </c>
      <c r="AA180" s="465">
        <f t="shared" si="61"/>
        <v>-7.4521714625670477E-3</v>
      </c>
      <c r="AB180" s="465">
        <f t="shared" si="62"/>
        <v>0.47645187905887343</v>
      </c>
    </row>
    <row r="181" spans="1:28" x14ac:dyDescent="0.15">
      <c r="A181" s="384">
        <f t="shared" si="54"/>
        <v>179</v>
      </c>
      <c r="B181" s="401">
        <f t="shared" si="68"/>
        <v>38989</v>
      </c>
      <c r="C181" s="372"/>
      <c r="D181" s="390">
        <v>31628.076599999993</v>
      </c>
      <c r="E181" s="387">
        <f>D181+SUM(Holdings_Old!$E$32:$E$35)</f>
        <v>31628.076599999993</v>
      </c>
      <c r="F181" s="387">
        <f t="shared" si="69"/>
        <v>30.293979999991279</v>
      </c>
      <c r="G181" s="388">
        <f t="shared" si="65"/>
        <v>9.5873752801933776E-4</v>
      </c>
      <c r="H181" s="387">
        <f t="shared" si="66"/>
        <v>8772.2265999999945</v>
      </c>
      <c r="I181" s="388">
        <f t="shared" si="67"/>
        <v>0.38380662281210265</v>
      </c>
      <c r="K181" s="372"/>
      <c r="L181" s="369">
        <v>1335.82</v>
      </c>
      <c r="M181" s="394">
        <f t="shared" si="59"/>
        <v>1.6002677253989184E-2</v>
      </c>
      <c r="N181" s="394">
        <f t="shared" si="50"/>
        <v>0.43624204369516595</v>
      </c>
      <c r="O181" s="395" t="str">
        <f t="shared" si="51"/>
        <v>No</v>
      </c>
      <c r="P181" s="396">
        <f t="shared" si="55"/>
        <v>0</v>
      </c>
      <c r="Q181" s="394">
        <f>SUM($P$4:P181)/COUNT($P$4:P181)</f>
        <v>0.52247191011235961</v>
      </c>
      <c r="S181" s="369">
        <v>11679.07</v>
      </c>
      <c r="T181" s="394">
        <f t="shared" si="60"/>
        <v>1.4856492383625408E-2</v>
      </c>
      <c r="U181" s="394">
        <f t="shared" si="63"/>
        <v>0.36077192671752867</v>
      </c>
      <c r="V181" s="395" t="str">
        <f t="shared" si="64"/>
        <v>No</v>
      </c>
      <c r="W181" s="396">
        <f t="shared" si="56"/>
        <v>0</v>
      </c>
      <c r="X181" s="394">
        <f>SUM($W$4:W181)/COUNT($W$4:W181)</f>
        <v>0.5168539325842697</v>
      </c>
      <c r="Z181" s="468">
        <v>2258.4299999999998</v>
      </c>
      <c r="AA181" s="465">
        <f t="shared" si="61"/>
        <v>1.7801372733704968E-2</v>
      </c>
      <c r="AB181" s="465">
        <f t="shared" si="62"/>
        <v>0.50273474928137962</v>
      </c>
    </row>
    <row r="182" spans="1:28" x14ac:dyDescent="0.15">
      <c r="A182" s="384">
        <f t="shared" si="54"/>
        <v>180</v>
      </c>
      <c r="B182" s="401">
        <f t="shared" si="68"/>
        <v>38996</v>
      </c>
      <c r="C182" s="372"/>
      <c r="D182" s="390">
        <v>32045.75244</v>
      </c>
      <c r="E182" s="387">
        <f>D182+SUM(Holdings_Old!$E$32:$E$35)</f>
        <v>32045.75244</v>
      </c>
      <c r="F182" s="387">
        <f t="shared" si="69"/>
        <v>417.67584000000716</v>
      </c>
      <c r="G182" s="388">
        <f t="shared" si="65"/>
        <v>1.3205856469944433E-2</v>
      </c>
      <c r="H182" s="387">
        <f t="shared" si="66"/>
        <v>9189.9024400000017</v>
      </c>
      <c r="I182" s="388">
        <f t="shared" si="67"/>
        <v>0.4020809744551177</v>
      </c>
      <c r="K182" s="372"/>
      <c r="L182" s="369">
        <v>1349.58</v>
      </c>
      <c r="M182" s="394">
        <f t="shared" si="59"/>
        <v>1.0300789028461876E-2</v>
      </c>
      <c r="N182" s="394">
        <f t="shared" si="50"/>
        <v>0.45103646998107672</v>
      </c>
      <c r="O182" s="395" t="str">
        <f t="shared" si="51"/>
        <v>Yes</v>
      </c>
      <c r="P182" s="396">
        <f t="shared" si="55"/>
        <v>1</v>
      </c>
      <c r="Q182" s="394">
        <f>SUM($P$4:P182)/COUNT($P$4:P182)</f>
        <v>0.52513966480446927</v>
      </c>
      <c r="S182" s="369">
        <v>11850.21</v>
      </c>
      <c r="T182" s="394">
        <f t="shared" si="60"/>
        <v>1.4653564025217669E-2</v>
      </c>
      <c r="U182" s="394">
        <f t="shared" si="63"/>
        <v>0.38071208526940281</v>
      </c>
      <c r="V182" s="395" t="str">
        <f t="shared" si="64"/>
        <v>No</v>
      </c>
      <c r="W182" s="396">
        <f t="shared" si="56"/>
        <v>0</v>
      </c>
      <c r="X182" s="394">
        <f>SUM($W$4:W182)/COUNT($W$4:W182)</f>
        <v>0.51396648044692739</v>
      </c>
      <c r="Z182" s="468">
        <v>2299.9899999999998</v>
      </c>
      <c r="AA182" s="465">
        <f t="shared" si="61"/>
        <v>1.8402164335401094E-2</v>
      </c>
      <c r="AB182" s="465">
        <f t="shared" si="62"/>
        <v>0.5303883210901732</v>
      </c>
    </row>
    <row r="183" spans="1:28" x14ac:dyDescent="0.15">
      <c r="A183" s="384">
        <f t="shared" si="54"/>
        <v>181</v>
      </c>
      <c r="B183" s="401">
        <f t="shared" si="68"/>
        <v>39003</v>
      </c>
      <c r="C183" s="372"/>
      <c r="D183" s="390">
        <v>32558.328909999997</v>
      </c>
      <c r="E183" s="387">
        <f>D183+SUM(Holdings_Old!$E$32:$E$35)</f>
        <v>32558.328909999997</v>
      </c>
      <c r="F183" s="387">
        <f t="shared" si="69"/>
        <v>512.57646999999633</v>
      </c>
      <c r="G183" s="388">
        <f t="shared" si="65"/>
        <v>1.5995145408418843E-2</v>
      </c>
      <c r="H183" s="387">
        <f t="shared" si="66"/>
        <v>9702.478909999998</v>
      </c>
      <c r="I183" s="388">
        <f t="shared" si="67"/>
        <v>0.42450746351590496</v>
      </c>
      <c r="K183" s="372"/>
      <c r="L183" s="369">
        <v>1365.61</v>
      </c>
      <c r="M183" s="394">
        <f t="shared" si="59"/>
        <v>1.187776938010332E-2</v>
      </c>
      <c r="N183" s="394">
        <f t="shared" si="50"/>
        <v>0.46827154653363134</v>
      </c>
      <c r="O183" s="395" t="str">
        <f t="shared" si="51"/>
        <v>Yes</v>
      </c>
      <c r="P183" s="396">
        <f t="shared" si="55"/>
        <v>1</v>
      </c>
      <c r="Q183" s="394">
        <f>SUM($P$4:P183)/COUNT($P$4:P183)</f>
        <v>0.52777777777777779</v>
      </c>
      <c r="S183" s="369">
        <v>11960.51</v>
      </c>
      <c r="T183" s="394">
        <f t="shared" si="60"/>
        <v>9.3078519283624761E-3</v>
      </c>
      <c r="U183" s="394">
        <f t="shared" si="63"/>
        <v>0.39356354891479106</v>
      </c>
      <c r="V183" s="395" t="str">
        <f t="shared" si="64"/>
        <v>Yes</v>
      </c>
      <c r="W183" s="396">
        <f t="shared" si="56"/>
        <v>1</v>
      </c>
      <c r="X183" s="394">
        <f>SUM($W$4:W183)/COUNT($W$4:W183)</f>
        <v>0.51666666666666672</v>
      </c>
      <c r="Z183" s="468">
        <v>2357.29</v>
      </c>
      <c r="AA183" s="465">
        <f t="shared" si="61"/>
        <v>2.491315179631215E-2</v>
      </c>
      <c r="AB183" s="465">
        <f t="shared" si="62"/>
        <v>0.5685151176407961</v>
      </c>
    </row>
    <row r="184" spans="1:28" x14ac:dyDescent="0.15">
      <c r="A184" s="384">
        <f t="shared" si="54"/>
        <v>182</v>
      </c>
      <c r="B184" s="401">
        <f t="shared" si="68"/>
        <v>39010</v>
      </c>
      <c r="C184" s="372"/>
      <c r="D184" s="390">
        <v>32608.25</v>
      </c>
      <c r="E184" s="387">
        <f>D184+SUM(Holdings_Old!$E$32:$E$35)</f>
        <v>32608.25</v>
      </c>
      <c r="F184" s="387">
        <f t="shared" si="69"/>
        <v>49.92109000000346</v>
      </c>
      <c r="G184" s="388">
        <f t="shared" si="65"/>
        <v>1.5332817030628831E-3</v>
      </c>
      <c r="H184" s="387">
        <f t="shared" si="66"/>
        <v>9752.4000000000015</v>
      </c>
      <c r="I184" s="388">
        <f t="shared" si="67"/>
        <v>0.42669163474559046</v>
      </c>
      <c r="K184" s="372"/>
      <c r="L184" s="369">
        <v>1368.58</v>
      </c>
      <c r="M184" s="394">
        <f t="shared" si="59"/>
        <v>2.1748522638234125E-3</v>
      </c>
      <c r="N184" s="394">
        <f t="shared" si="50"/>
        <v>0.47146482023051761</v>
      </c>
      <c r="O184" s="395" t="str">
        <f t="shared" si="51"/>
        <v>No</v>
      </c>
      <c r="P184" s="396">
        <f t="shared" si="55"/>
        <v>0</v>
      </c>
      <c r="Q184" s="394">
        <f>SUM($P$4:P184)/COUNT($P$4:P184)</f>
        <v>0.52486187845303867</v>
      </c>
      <c r="S184" s="369">
        <v>12002.37</v>
      </c>
      <c r="T184" s="394">
        <f t="shared" si="60"/>
        <v>3.4998507588723804E-3</v>
      </c>
      <c r="U184" s="394">
        <f t="shared" si="63"/>
        <v>0.39844081335899739</v>
      </c>
      <c r="V184" s="395" t="str">
        <f t="shared" si="64"/>
        <v>No</v>
      </c>
      <c r="W184" s="396">
        <f t="shared" si="56"/>
        <v>0</v>
      </c>
      <c r="X184" s="394">
        <f>SUM($W$4:W184)/COUNT($W$4:W184)</f>
        <v>0.51381215469613262</v>
      </c>
      <c r="Z184" s="468">
        <v>2342.3000000000002</v>
      </c>
      <c r="AA184" s="465">
        <f t="shared" si="61"/>
        <v>-6.358996983824583E-3</v>
      </c>
      <c r="AB184" s="465">
        <f t="shared" si="62"/>
        <v>0.5585409347386352</v>
      </c>
    </row>
    <row r="185" spans="1:28" x14ac:dyDescent="0.15">
      <c r="A185" s="384">
        <f t="shared" si="54"/>
        <v>183</v>
      </c>
      <c r="B185" s="401">
        <f t="shared" si="68"/>
        <v>39017</v>
      </c>
      <c r="C185" s="372"/>
      <c r="D185" s="390">
        <v>32630.82</v>
      </c>
      <c r="E185" s="387">
        <f>D185+SUM(Holdings_Old!$E$32:$E$35)</f>
        <v>32630.82</v>
      </c>
      <c r="F185" s="387">
        <f t="shared" si="69"/>
        <v>22.569999999999709</v>
      </c>
      <c r="G185" s="388">
        <f t="shared" si="65"/>
        <v>6.9215612613371391E-4</v>
      </c>
      <c r="H185" s="387">
        <f t="shared" si="66"/>
        <v>9774.9700000000012</v>
      </c>
      <c r="I185" s="388">
        <f t="shared" si="67"/>
        <v>0.42767912810068331</v>
      </c>
      <c r="K185" s="372"/>
      <c r="L185" s="369">
        <v>1377.3</v>
      </c>
      <c r="M185" s="394">
        <f t="shared" si="59"/>
        <v>6.3715676102238383E-3</v>
      </c>
      <c r="N185" s="394">
        <f t="shared" si="50"/>
        <v>0.48084035781868217</v>
      </c>
      <c r="O185" s="395" t="str">
        <f t="shared" si="51"/>
        <v>No</v>
      </c>
      <c r="P185" s="396">
        <f t="shared" si="55"/>
        <v>0</v>
      </c>
      <c r="Q185" s="394">
        <f>SUM($P$4:P185)/COUNT($P$4:P185)</f>
        <v>0.52197802197802201</v>
      </c>
      <c r="S185" s="369">
        <v>12090.26</v>
      </c>
      <c r="T185" s="394">
        <f t="shared" si="60"/>
        <v>7.3227204293817572E-3</v>
      </c>
      <c r="U185" s="394">
        <f t="shared" si="63"/>
        <v>0.40868120447226275</v>
      </c>
      <c r="V185" s="395" t="str">
        <f t="shared" si="64"/>
        <v>No</v>
      </c>
      <c r="W185" s="396">
        <f t="shared" si="56"/>
        <v>0</v>
      </c>
      <c r="X185" s="394">
        <f>SUM($W$4:W185)/COUNT($W$4:W185)</f>
        <v>0.51098901098901095</v>
      </c>
      <c r="Z185" s="468">
        <v>2350.62</v>
      </c>
      <c r="AA185" s="465">
        <f t="shared" si="61"/>
        <v>3.5520642103914479E-3</v>
      </c>
      <c r="AB185" s="465">
        <f t="shared" si="62"/>
        <v>0.56407697221335029</v>
      </c>
    </row>
    <row r="186" spans="1:28" x14ac:dyDescent="0.15">
      <c r="A186" s="384">
        <f t="shared" si="54"/>
        <v>184</v>
      </c>
      <c r="B186" s="401">
        <f t="shared" si="68"/>
        <v>39024</v>
      </c>
      <c r="C186" s="372"/>
      <c r="D186" s="390">
        <v>32621</v>
      </c>
      <c r="E186" s="387">
        <f>D186+SUM(Holdings_Old!$E$32:$E$35)</f>
        <v>32621</v>
      </c>
      <c r="F186" s="387">
        <f t="shared" si="69"/>
        <v>-9.819999999999709</v>
      </c>
      <c r="G186" s="388">
        <f t="shared" si="65"/>
        <v>-3.0094248321066441E-4</v>
      </c>
      <c r="H186" s="387">
        <f t="shared" si="66"/>
        <v>9765.1500000000015</v>
      </c>
      <c r="I186" s="388">
        <f t="shared" si="67"/>
        <v>0.42724947879864472</v>
      </c>
      <c r="K186" s="372"/>
      <c r="L186" s="369">
        <v>1364.27</v>
      </c>
      <c r="M186" s="394">
        <f t="shared" si="59"/>
        <v>-9.4605387352065806E-3</v>
      </c>
      <c r="N186" s="394">
        <f t="shared" si="50"/>
        <v>0.46683081025288131</v>
      </c>
      <c r="O186" s="395" t="str">
        <f t="shared" si="51"/>
        <v>Yes</v>
      </c>
      <c r="P186" s="396">
        <f t="shared" si="55"/>
        <v>1</v>
      </c>
      <c r="Q186" s="394">
        <f>SUM($P$4:P186)/COUNT($P$4:P186)</f>
        <v>0.52459016393442626</v>
      </c>
      <c r="S186" s="369">
        <v>11986.04</v>
      </c>
      <c r="T186" s="394">
        <f t="shared" si="60"/>
        <v>-8.6201620147126068E-3</v>
      </c>
      <c r="U186" s="394">
        <f t="shared" si="63"/>
        <v>0.39653814426263123</v>
      </c>
      <c r="V186" s="395" t="str">
        <f t="shared" si="64"/>
        <v>Yes</v>
      </c>
      <c r="W186" s="396">
        <f t="shared" si="56"/>
        <v>1</v>
      </c>
      <c r="X186" s="394">
        <f>SUM($W$4:W186)/COUNT($W$4:W186)</f>
        <v>0.51366120218579236</v>
      </c>
      <c r="Z186" s="468">
        <v>2330.79</v>
      </c>
      <c r="AA186" s="465">
        <f t="shared" si="61"/>
        <v>-8.4360721852106968E-3</v>
      </c>
      <c r="AB186" s="465">
        <f t="shared" si="62"/>
        <v>0.55088230597253252</v>
      </c>
    </row>
    <row r="187" spans="1:28" x14ac:dyDescent="0.15">
      <c r="A187" s="384">
        <f t="shared" si="54"/>
        <v>185</v>
      </c>
      <c r="B187" s="401">
        <f t="shared" si="68"/>
        <v>39031</v>
      </c>
      <c r="C187" s="372"/>
      <c r="D187" s="390">
        <v>33193.050000000003</v>
      </c>
      <c r="E187" s="387">
        <f>D187+SUM(Holdings_Old!$E$32:$E$35)</f>
        <v>33193.050000000003</v>
      </c>
      <c r="F187" s="387">
        <f t="shared" si="69"/>
        <v>572.05000000000291</v>
      </c>
      <c r="G187" s="388">
        <f t="shared" si="65"/>
        <v>1.7536249655130121E-2</v>
      </c>
      <c r="H187" s="387">
        <f t="shared" si="66"/>
        <v>10337.200000000004</v>
      </c>
      <c r="I187" s="388">
        <f t="shared" si="67"/>
        <v>0.4522780819790122</v>
      </c>
      <c r="K187" s="372"/>
      <c r="L187" s="369">
        <v>1380.58</v>
      </c>
      <c r="M187" s="394">
        <f t="shared" si="59"/>
        <v>1.1955111524844853E-2</v>
      </c>
      <c r="N187" s="394">
        <f t="shared" si="50"/>
        <v>0.4843669361775329</v>
      </c>
      <c r="O187" s="395" t="str">
        <f t="shared" si="51"/>
        <v>Yes</v>
      </c>
      <c r="P187" s="396">
        <f t="shared" si="55"/>
        <v>1</v>
      </c>
      <c r="Q187" s="394">
        <f>SUM($P$4:P187)/COUNT($P$4:P187)</f>
        <v>0.52717391304347827</v>
      </c>
      <c r="S187" s="369">
        <v>12108.43</v>
      </c>
      <c r="T187" s="394">
        <f t="shared" si="60"/>
        <v>1.0211045516283823E-2</v>
      </c>
      <c r="U187" s="394">
        <f t="shared" si="63"/>
        <v>0.41079825881892362</v>
      </c>
      <c r="V187" s="395" t="str">
        <f t="shared" si="64"/>
        <v>Yes</v>
      </c>
      <c r="W187" s="396">
        <f t="shared" si="56"/>
        <v>1</v>
      </c>
      <c r="X187" s="394">
        <f>SUM($W$4:W187)/COUNT($W$4:W187)</f>
        <v>0.51630434782608692</v>
      </c>
      <c r="Z187" s="468">
        <v>2389.7199999999998</v>
      </c>
      <c r="AA187" s="465">
        <f t="shared" si="61"/>
        <v>2.5283273053342326E-2</v>
      </c>
      <c r="AB187" s="465">
        <f t="shared" si="62"/>
        <v>0.59009368678803331</v>
      </c>
    </row>
    <row r="188" spans="1:28" x14ac:dyDescent="0.15">
      <c r="A188" s="384">
        <f t="shared" si="54"/>
        <v>186</v>
      </c>
      <c r="B188" s="401">
        <f t="shared" si="68"/>
        <v>39038</v>
      </c>
      <c r="C188" s="372"/>
      <c r="D188" s="390">
        <v>33718.230000000003</v>
      </c>
      <c r="E188" s="387">
        <f>D188+SUM(Holdings_Old!$E$32:$E$35)</f>
        <v>33718.230000000003</v>
      </c>
      <c r="F188" s="387">
        <f t="shared" si="69"/>
        <v>525.18000000000029</v>
      </c>
      <c r="G188" s="388">
        <f t="shared" si="65"/>
        <v>1.5821986831580759E-2</v>
      </c>
      <c r="H188" s="387">
        <f t="shared" si="66"/>
        <v>10862.380000000005</v>
      </c>
      <c r="I188" s="388">
        <f t="shared" si="67"/>
        <v>0.47525600666787748</v>
      </c>
      <c r="K188" s="372"/>
      <c r="L188" s="369">
        <v>1401.17</v>
      </c>
      <c r="M188" s="394">
        <f t="shared" si="59"/>
        <v>1.4914021643077646E-2</v>
      </c>
      <c r="N188" s="394">
        <f t="shared" si="50"/>
        <v>0.50650481678995352</v>
      </c>
      <c r="O188" s="395" t="str">
        <f t="shared" si="51"/>
        <v>Yes</v>
      </c>
      <c r="P188" s="396">
        <f t="shared" si="55"/>
        <v>1</v>
      </c>
      <c r="Q188" s="394">
        <f>SUM($P$4:P188)/COUNT($P$4:P188)</f>
        <v>0.52972972972972976</v>
      </c>
      <c r="S188" s="369">
        <v>12342.56</v>
      </c>
      <c r="T188" s="394">
        <f t="shared" si="60"/>
        <v>1.9336115417110111E-2</v>
      </c>
      <c r="U188" s="394">
        <f t="shared" si="63"/>
        <v>0.43807761678170443</v>
      </c>
      <c r="V188" s="395" t="str">
        <f t="shared" si="64"/>
        <v>No</v>
      </c>
      <c r="W188" s="396">
        <f t="shared" si="56"/>
        <v>0</v>
      </c>
      <c r="X188" s="394">
        <f>SUM($W$4:W188)/COUNT($W$4:W188)</f>
        <v>0.51351351351351349</v>
      </c>
      <c r="Z188" s="468">
        <v>2445.86</v>
      </c>
      <c r="AA188" s="465">
        <f t="shared" si="61"/>
        <v>2.3492291983998159E-2</v>
      </c>
      <c r="AB188" s="465">
        <f t="shared" si="62"/>
        <v>0.62744863195997014</v>
      </c>
    </row>
    <row r="189" spans="1:28" x14ac:dyDescent="0.15">
      <c r="A189" s="384">
        <f t="shared" si="54"/>
        <v>187</v>
      </c>
      <c r="B189" s="401">
        <f t="shared" si="68"/>
        <v>39045</v>
      </c>
      <c r="C189" s="372"/>
      <c r="D189" s="390">
        <v>33895</v>
      </c>
      <c r="E189" s="387">
        <f>D189+SUM(Holdings_Old!$E$32:$E$35)</f>
        <v>33895</v>
      </c>
      <c r="F189" s="387">
        <f t="shared" si="69"/>
        <v>176.7699999999968</v>
      </c>
      <c r="G189" s="388">
        <f t="shared" si="65"/>
        <v>5.2425646304683493E-3</v>
      </c>
      <c r="H189" s="387">
        <f t="shared" si="66"/>
        <v>11039.150000000001</v>
      </c>
      <c r="I189" s="388">
        <f t="shared" si="67"/>
        <v>0.48299013162932036</v>
      </c>
      <c r="K189" s="372"/>
      <c r="L189" s="369">
        <v>1400.95</v>
      </c>
      <c r="M189" s="394">
        <f t="shared" si="59"/>
        <v>-1.5701164027204229E-4</v>
      </c>
      <c r="N189" s="394">
        <f t="shared" si="50"/>
        <v>0.50626827799759155</v>
      </c>
      <c r="O189" s="395" t="str">
        <f t="shared" si="51"/>
        <v>Yes</v>
      </c>
      <c r="P189" s="396">
        <f t="shared" si="55"/>
        <v>1</v>
      </c>
      <c r="Q189" s="394">
        <f>SUM($P$4:P189)/COUNT($P$4:P189)</f>
        <v>0.532258064516129</v>
      </c>
      <c r="T189" s="394">
        <f t="shared" si="60"/>
        <v>-1</v>
      </c>
      <c r="U189" s="394">
        <f t="shared" si="63"/>
        <v>-1</v>
      </c>
      <c r="V189" s="395" t="str">
        <f t="shared" si="64"/>
        <v>Yes</v>
      </c>
      <c r="W189" s="396">
        <f t="shared" si="56"/>
        <v>1</v>
      </c>
      <c r="X189" s="394">
        <f>SUM($W$4:W189)/COUNT($W$4:W189)</f>
        <v>0.5161290322580645</v>
      </c>
      <c r="Z189" s="469">
        <v>2460.2600000000002</v>
      </c>
      <c r="AA189" s="465">
        <f t="shared" si="61"/>
        <v>5.8874996933593327E-3</v>
      </c>
      <c r="AB189" s="465">
        <f t="shared" si="62"/>
        <v>0.63703023528159264</v>
      </c>
    </row>
    <row r="190" spans="1:28" x14ac:dyDescent="0.15">
      <c r="A190" s="384">
        <f t="shared" si="54"/>
        <v>188</v>
      </c>
      <c r="B190" s="401">
        <f t="shared" si="68"/>
        <v>39052</v>
      </c>
      <c r="C190" s="373">
        <f>D194-D189</f>
        <v>718</v>
      </c>
      <c r="D190" s="390">
        <v>33896</v>
      </c>
      <c r="E190" s="387">
        <f>D190+SUM(Holdings_Old!$E$32:$E$35)</f>
        <v>33896</v>
      </c>
      <c r="F190" s="387">
        <f t="shared" si="69"/>
        <v>1</v>
      </c>
      <c r="G190" s="388">
        <f t="shared" si="65"/>
        <v>2.9502876530473898E-5</v>
      </c>
      <c r="H190" s="387">
        <f t="shared" si="66"/>
        <v>11040.150000000001</v>
      </c>
      <c r="I190" s="388">
        <f t="shared" si="67"/>
        <v>0.48303388410406978</v>
      </c>
      <c r="K190" s="373"/>
      <c r="L190" s="369">
        <v>1396.67</v>
      </c>
      <c r="M190" s="394">
        <f t="shared" si="59"/>
        <v>-3.0550697740818755E-3</v>
      </c>
      <c r="N190" s="394">
        <f t="shared" si="50"/>
        <v>0.50166652330982275</v>
      </c>
      <c r="O190" s="395" t="str">
        <f t="shared" si="51"/>
        <v>Yes</v>
      </c>
      <c r="P190" s="396">
        <f t="shared" si="55"/>
        <v>1</v>
      </c>
      <c r="Q190" s="394">
        <f>SUM($P$4:P190)/COUNT($P$4:P190)</f>
        <v>0.53475935828877008</v>
      </c>
      <c r="T190" s="394" t="e">
        <f t="shared" si="60"/>
        <v>#DIV/0!</v>
      </c>
      <c r="U190" s="394">
        <f t="shared" si="63"/>
        <v>-1</v>
      </c>
      <c r="V190" s="395" t="e">
        <f t="shared" si="64"/>
        <v>#DIV/0!</v>
      </c>
      <c r="W190" s="396" t="e">
        <f t="shared" si="56"/>
        <v>#DIV/0!</v>
      </c>
      <c r="X190" s="394" t="e">
        <f>SUM($W$4:W190)/COUNT($W$4:W190)</f>
        <v>#DIV/0!</v>
      </c>
      <c r="Z190" s="469">
        <v>2413.21</v>
      </c>
      <c r="AA190" s="465">
        <f t="shared" si="61"/>
        <v>-1.9123995024916129E-2</v>
      </c>
      <c r="AB190" s="465">
        <f t="shared" si="62"/>
        <v>0.60572367720643028</v>
      </c>
    </row>
    <row r="191" spans="1:28" x14ac:dyDescent="0.15">
      <c r="A191" s="384">
        <f t="shared" si="54"/>
        <v>189</v>
      </c>
      <c r="B191" s="401">
        <f t="shared" si="68"/>
        <v>39059</v>
      </c>
      <c r="C191" s="372">
        <f>C190/4</f>
        <v>179.5</v>
      </c>
      <c r="D191" s="390">
        <v>33897</v>
      </c>
      <c r="E191" s="387">
        <f>D191+SUM(Holdings_Old!$E$32:$E$35)</f>
        <v>33897</v>
      </c>
      <c r="F191" s="387">
        <f t="shared" si="69"/>
        <v>1</v>
      </c>
      <c r="G191" s="388">
        <f t="shared" si="65"/>
        <v>2.9502006136494785E-5</v>
      </c>
      <c r="H191" s="387">
        <f t="shared" si="66"/>
        <v>11041.150000000001</v>
      </c>
      <c r="I191" s="388">
        <f t="shared" si="67"/>
        <v>0.48307763657881919</v>
      </c>
      <c r="K191" s="372"/>
      <c r="L191" s="369">
        <v>1409.81</v>
      </c>
      <c r="M191" s="394">
        <f t="shared" si="59"/>
        <v>9.4080921047920985E-3</v>
      </c>
      <c r="N191" s="394">
        <f t="shared" si="50"/>
        <v>0.51579434027180437</v>
      </c>
      <c r="O191" s="395" t="str">
        <f t="shared" si="51"/>
        <v>No</v>
      </c>
      <c r="P191" s="396">
        <f t="shared" si="55"/>
        <v>0</v>
      </c>
      <c r="Q191" s="394">
        <f>SUM($P$4:P191)/COUNT($P$4:P191)</f>
        <v>0.53191489361702127</v>
      </c>
      <c r="T191" s="394" t="e">
        <f t="shared" si="60"/>
        <v>#DIV/0!</v>
      </c>
      <c r="U191" s="394">
        <f t="shared" si="63"/>
        <v>-1</v>
      </c>
      <c r="V191" s="395" t="e">
        <f t="shared" si="64"/>
        <v>#DIV/0!</v>
      </c>
      <c r="W191" s="396" t="e">
        <f t="shared" si="56"/>
        <v>#DIV/0!</v>
      </c>
      <c r="X191" s="394" t="e">
        <f>SUM($W$4:W191)/COUNT($W$4:W191)</f>
        <v>#DIV/0!</v>
      </c>
      <c r="Z191" s="469">
        <v>2437.36</v>
      </c>
      <c r="AA191" s="465">
        <f t="shared" si="61"/>
        <v>1.0007417506143312E-2</v>
      </c>
      <c r="AB191" s="465">
        <f t="shared" si="62"/>
        <v>0.62179282444373474</v>
      </c>
    </row>
    <row r="192" spans="1:28" x14ac:dyDescent="0.15">
      <c r="A192" s="384">
        <f t="shared" si="54"/>
        <v>190</v>
      </c>
      <c r="B192" s="401">
        <f t="shared" si="68"/>
        <v>39066</v>
      </c>
      <c r="C192" s="372"/>
      <c r="D192" s="390">
        <v>33898</v>
      </c>
      <c r="E192" s="387">
        <f>D192+SUM(Holdings_Old!$E$32:$E$35)</f>
        <v>33898</v>
      </c>
      <c r="F192" s="387">
        <f t="shared" si="69"/>
        <v>1</v>
      </c>
      <c r="G192" s="388">
        <f t="shared" si="65"/>
        <v>2.9501135793807975E-5</v>
      </c>
      <c r="H192" s="387">
        <f t="shared" si="66"/>
        <v>11042.150000000001</v>
      </c>
      <c r="I192" s="388">
        <f t="shared" si="67"/>
        <v>0.48312138905356838</v>
      </c>
      <c r="K192" s="372"/>
      <c r="L192" s="369">
        <v>1427.08</v>
      </c>
      <c r="M192" s="394">
        <f t="shared" si="59"/>
        <v>1.2249877643086604E-2</v>
      </c>
      <c r="N192" s="394">
        <f t="shared" si="50"/>
        <v>0.5343626354722173</v>
      </c>
      <c r="O192" s="395" t="str">
        <f t="shared" si="51"/>
        <v>No</v>
      </c>
      <c r="P192" s="396">
        <f t="shared" si="55"/>
        <v>0</v>
      </c>
      <c r="Q192" s="394">
        <f>SUM($P$4:P192)/COUNT($P$4:P192)</f>
        <v>0.52910052910052907</v>
      </c>
      <c r="T192" s="394" t="e">
        <f t="shared" si="60"/>
        <v>#DIV/0!</v>
      </c>
      <c r="U192" s="394">
        <f t="shared" si="63"/>
        <v>-1</v>
      </c>
      <c r="V192" s="395" t="e">
        <f t="shared" si="64"/>
        <v>#DIV/0!</v>
      </c>
      <c r="W192" s="396" t="e">
        <f t="shared" si="56"/>
        <v>#DIV/0!</v>
      </c>
      <c r="X192" s="394" t="e">
        <f>SUM($W$4:W192)/COUNT($W$4:W192)</f>
        <v>#DIV/0!</v>
      </c>
      <c r="Z192" s="469">
        <v>2457.1999999999998</v>
      </c>
      <c r="AA192" s="465">
        <f t="shared" si="61"/>
        <v>8.1399547050906573E-3</v>
      </c>
      <c r="AB192" s="465">
        <f t="shared" si="62"/>
        <v>0.63499414457574765</v>
      </c>
    </row>
    <row r="193" spans="1:28" x14ac:dyDescent="0.15">
      <c r="A193" s="384">
        <f t="shared" si="54"/>
        <v>191</v>
      </c>
      <c r="B193" s="401">
        <f t="shared" si="68"/>
        <v>39073</v>
      </c>
      <c r="C193" s="372"/>
      <c r="D193" s="390">
        <v>33899</v>
      </c>
      <c r="E193" s="387">
        <f>D193+SUM(Holdings_Old!$E$32:$E$35)</f>
        <v>33899</v>
      </c>
      <c r="F193" s="387">
        <f t="shared" si="69"/>
        <v>1</v>
      </c>
      <c r="G193" s="388">
        <f t="shared" si="65"/>
        <v>2.950026550241347E-5</v>
      </c>
      <c r="H193" s="387">
        <f t="shared" si="66"/>
        <v>11043.150000000001</v>
      </c>
      <c r="I193" s="388">
        <f t="shared" si="67"/>
        <v>0.4831651415283178</v>
      </c>
      <c r="K193" s="372"/>
      <c r="L193" s="369">
        <v>1410.75</v>
      </c>
      <c r="M193" s="394">
        <f t="shared" si="59"/>
        <v>-1.1442946436079238E-2</v>
      </c>
      <c r="N193" s="394">
        <f t="shared" si="50"/>
        <v>0.51680500602098745</v>
      </c>
      <c r="O193" s="395" t="str">
        <f t="shared" si="51"/>
        <v>Yes</v>
      </c>
      <c r="P193" s="396">
        <f t="shared" si="55"/>
        <v>1</v>
      </c>
      <c r="Q193" s="394">
        <f>SUM($P$4:P193)/COUNT($P$4:P193)</f>
        <v>0.53157894736842104</v>
      </c>
      <c r="T193" s="394" t="e">
        <f t="shared" si="60"/>
        <v>#DIV/0!</v>
      </c>
      <c r="U193" s="394">
        <f t="shared" si="63"/>
        <v>-1</v>
      </c>
      <c r="V193" s="395" t="e">
        <f t="shared" si="64"/>
        <v>#DIV/0!</v>
      </c>
      <c r="W193" s="396" t="e">
        <f t="shared" si="56"/>
        <v>#DIV/0!</v>
      </c>
      <c r="X193" s="394" t="e">
        <f>SUM($W$4:W193)/COUNT($W$4:W193)</f>
        <v>#DIV/0!</v>
      </c>
      <c r="Z193" s="469">
        <v>2401.1799999999998</v>
      </c>
      <c r="AA193" s="465">
        <f t="shared" si="61"/>
        <v>-2.2798307016115849E-2</v>
      </c>
      <c r="AB193" s="465">
        <f t="shared" si="62"/>
        <v>0.59771904609815807</v>
      </c>
    </row>
    <row r="194" spans="1:28" x14ac:dyDescent="0.15">
      <c r="A194" s="384">
        <f t="shared" si="54"/>
        <v>192</v>
      </c>
      <c r="B194" s="401">
        <f t="shared" si="68"/>
        <v>39080</v>
      </c>
      <c r="C194" s="372"/>
      <c r="D194" s="390">
        <v>34613</v>
      </c>
      <c r="E194" s="387">
        <f>D194+SUM(Holdings_Old!$E$32:$E$35)</f>
        <v>34613</v>
      </c>
      <c r="F194" s="387">
        <f t="shared" si="69"/>
        <v>714</v>
      </c>
      <c r="G194" s="388">
        <f t="shared" si="65"/>
        <v>2.1062568217351529E-2</v>
      </c>
      <c r="H194" s="387">
        <f t="shared" si="66"/>
        <v>11757.150000000001</v>
      </c>
      <c r="I194" s="388">
        <f t="shared" si="67"/>
        <v>0.51440440849935576</v>
      </c>
      <c r="K194" s="372"/>
      <c r="L194" s="369">
        <v>1418.03</v>
      </c>
      <c r="M194" s="394">
        <f t="shared" si="59"/>
        <v>5.1603756866913653E-3</v>
      </c>
      <c r="N194" s="394">
        <f t="shared" si="50"/>
        <v>0.52463228969551001</v>
      </c>
      <c r="O194" s="395" t="str">
        <f t="shared" si="51"/>
        <v>Yes</v>
      </c>
      <c r="P194" s="396">
        <f t="shared" si="55"/>
        <v>1</v>
      </c>
      <c r="Q194" s="394">
        <f>SUM($P$4:P194)/COUNT($P$4:P194)</f>
        <v>0.53403141361256545</v>
      </c>
      <c r="T194" s="394" t="e">
        <f t="shared" si="60"/>
        <v>#DIV/0!</v>
      </c>
      <c r="U194" s="394">
        <f t="shared" si="63"/>
        <v>-1</v>
      </c>
      <c r="V194" s="395" t="e">
        <f t="shared" si="64"/>
        <v>#DIV/0!</v>
      </c>
      <c r="W194" s="396" t="e">
        <f t="shared" si="56"/>
        <v>#DIV/0!</v>
      </c>
      <c r="X194" s="394" t="e">
        <f>SUM($W$4:W194)/COUNT($W$4:W194)</f>
        <v>#DIV/0!</v>
      </c>
      <c r="Z194" s="469">
        <v>2415.29</v>
      </c>
      <c r="AA194" s="465">
        <f t="shared" si="61"/>
        <v>5.8762774968974529E-3</v>
      </c>
      <c r="AB194" s="465">
        <f t="shared" si="62"/>
        <v>0.60710768657510905</v>
      </c>
    </row>
    <row r="195" spans="1:28" x14ac:dyDescent="0.15">
      <c r="A195" s="384">
        <f t="shared" si="54"/>
        <v>193</v>
      </c>
      <c r="B195" s="401">
        <f t="shared" si="68"/>
        <v>39087</v>
      </c>
      <c r="C195" s="372"/>
      <c r="D195" s="390">
        <v>34614</v>
      </c>
      <c r="E195" s="387">
        <f>D195+SUM(Holdings_Old!$E$32:$E$35)</f>
        <v>34614</v>
      </c>
      <c r="F195" s="387">
        <f t="shared" si="69"/>
        <v>1</v>
      </c>
      <c r="G195" s="388">
        <f t="shared" si="65"/>
        <v>2.8890879149479076E-5</v>
      </c>
      <c r="H195" s="387">
        <f t="shared" si="66"/>
        <v>11758.150000000001</v>
      </c>
      <c r="I195" s="388">
        <f t="shared" si="67"/>
        <v>0.51444816097410517</v>
      </c>
      <c r="K195" s="372"/>
      <c r="L195" s="369">
        <v>1409.26</v>
      </c>
      <c r="M195" s="394">
        <f t="shared" si="59"/>
        <v>-6.1846364322334368E-3</v>
      </c>
      <c r="N195" s="394">
        <f t="shared" si="50"/>
        <v>0.51520299329089969</v>
      </c>
      <c r="O195" s="395" t="str">
        <f t="shared" si="51"/>
        <v>Yes</v>
      </c>
      <c r="P195" s="396">
        <f t="shared" si="55"/>
        <v>1</v>
      </c>
      <c r="Q195" s="394">
        <f>SUM($P$4:P195)/COUNT($P$4:P195)</f>
        <v>0.53645833333333337</v>
      </c>
      <c r="T195" s="394" t="e">
        <f t="shared" si="60"/>
        <v>#DIV/0!</v>
      </c>
      <c r="U195" s="394">
        <f t="shared" si="63"/>
        <v>-1</v>
      </c>
      <c r="V195" s="395" t="e">
        <f t="shared" si="64"/>
        <v>#DIV/0!</v>
      </c>
      <c r="W195" s="396" t="e">
        <f t="shared" si="56"/>
        <v>#DIV/0!</v>
      </c>
      <c r="X195" s="394" t="e">
        <f>SUM($W$4:W195)/COUNT($W$4:W195)</f>
        <v>#DIV/0!</v>
      </c>
      <c r="Z195" s="469">
        <v>2434.25</v>
      </c>
      <c r="AA195" s="465">
        <f t="shared" si="61"/>
        <v>7.8499890282326401E-3</v>
      </c>
      <c r="AB195" s="465">
        <f t="shared" si="62"/>
        <v>0.61972346428191205</v>
      </c>
    </row>
    <row r="196" spans="1:28" x14ac:dyDescent="0.15">
      <c r="A196" s="384">
        <f t="shared" si="54"/>
        <v>194</v>
      </c>
      <c r="B196" s="401">
        <f t="shared" si="68"/>
        <v>39094</v>
      </c>
      <c r="C196" s="372"/>
      <c r="D196" s="390">
        <v>34615</v>
      </c>
      <c r="E196" s="387">
        <f>D196+SUM(Holdings_Old!$E$32:$E$35)</f>
        <v>34615</v>
      </c>
      <c r="F196" s="387">
        <f t="shared" si="69"/>
        <v>1</v>
      </c>
      <c r="G196" s="388">
        <f t="shared" si="65"/>
        <v>2.8890044490692546E-5</v>
      </c>
      <c r="H196" s="387">
        <f t="shared" si="66"/>
        <v>11759.150000000001</v>
      </c>
      <c r="I196" s="388">
        <f t="shared" si="67"/>
        <v>0.51449191344885459</v>
      </c>
      <c r="K196" s="372"/>
      <c r="L196" s="369">
        <v>1430.73</v>
      </c>
      <c r="M196" s="394">
        <f t="shared" si="59"/>
        <v>1.5234946000028504E-2</v>
      </c>
      <c r="N196" s="394">
        <f t="shared" ref="N196:N259" si="70">(L196/$L$3)-1</f>
        <v>0.53828702907276793</v>
      </c>
      <c r="O196" s="395" t="str">
        <f t="shared" ref="O196:O259" si="71">IF(G196&gt;M196,"Yes","No")</f>
        <v>No</v>
      </c>
      <c r="P196" s="396">
        <f t="shared" si="55"/>
        <v>0</v>
      </c>
      <c r="Q196" s="394">
        <f>SUM($P$4:P196)/COUNT($P$4:P196)</f>
        <v>0.53367875647668395</v>
      </c>
      <c r="T196" s="394" t="e">
        <f t="shared" si="60"/>
        <v>#DIV/0!</v>
      </c>
      <c r="U196" s="394">
        <f t="shared" ref="U196:U202" si="72">(S196/$S$3)-1</f>
        <v>-1</v>
      </c>
      <c r="V196" s="395" t="e">
        <f t="shared" ref="V196:V202" si="73">IF(G196&gt;T196,"Yes","No")</f>
        <v>#DIV/0!</v>
      </c>
      <c r="W196" s="396" t="e">
        <f t="shared" si="56"/>
        <v>#DIV/0!</v>
      </c>
      <c r="X196" s="394" t="e">
        <f>SUM($W$4:W196)/COUNT($W$4:W196)</f>
        <v>#DIV/0!</v>
      </c>
      <c r="Z196" s="469">
        <v>2502.8200000000002</v>
      </c>
      <c r="AA196" s="465">
        <f t="shared" si="61"/>
        <v>2.8168840505289117E-2</v>
      </c>
      <c r="AB196" s="465">
        <f t="shared" si="62"/>
        <v>0.66534919620994359</v>
      </c>
    </row>
    <row r="197" spans="1:28" x14ac:dyDescent="0.15">
      <c r="A197" s="384">
        <f t="shared" ref="A197:A260" si="74">A196+1</f>
        <v>195</v>
      </c>
      <c r="B197" s="401">
        <f t="shared" si="68"/>
        <v>39101</v>
      </c>
      <c r="C197" s="372"/>
      <c r="D197" s="390">
        <v>34616</v>
      </c>
      <c r="E197" s="387">
        <f>D197+SUM(Holdings_Old!$E$32:$E$35)</f>
        <v>34616</v>
      </c>
      <c r="F197" s="387">
        <f t="shared" si="69"/>
        <v>1</v>
      </c>
      <c r="G197" s="388">
        <f t="shared" si="65"/>
        <v>2.8889209880089695E-5</v>
      </c>
      <c r="H197" s="387">
        <f t="shared" si="66"/>
        <v>11760.150000000001</v>
      </c>
      <c r="I197" s="388">
        <f t="shared" si="67"/>
        <v>0.514535665923604</v>
      </c>
      <c r="K197" s="372"/>
      <c r="L197" s="369">
        <v>1430.47</v>
      </c>
      <c r="M197" s="394">
        <f t="shared" si="59"/>
        <v>-1.8172541290106814E-4</v>
      </c>
      <c r="N197" s="394">
        <f t="shared" si="70"/>
        <v>0.53800748322724923</v>
      </c>
      <c r="O197" s="395" t="str">
        <f t="shared" si="71"/>
        <v>Yes</v>
      </c>
      <c r="P197" s="396">
        <f t="shared" si="55"/>
        <v>1</v>
      </c>
      <c r="Q197" s="394">
        <f>SUM($P$4:P197)/COUNT($P$4:P197)</f>
        <v>0.53608247422680411</v>
      </c>
      <c r="T197" s="394" t="e">
        <f t="shared" si="60"/>
        <v>#DIV/0!</v>
      </c>
      <c r="U197" s="394">
        <f t="shared" si="72"/>
        <v>-1</v>
      </c>
      <c r="V197" s="395" t="e">
        <f t="shared" si="73"/>
        <v>#DIV/0!</v>
      </c>
      <c r="W197" s="396" t="e">
        <f t="shared" si="56"/>
        <v>#DIV/0!</v>
      </c>
      <c r="X197" s="394" t="e">
        <f>SUM($W$4:W197)/COUNT($W$4:W197)</f>
        <v>#DIV/0!</v>
      </c>
      <c r="Z197" s="469">
        <v>2451.31</v>
      </c>
      <c r="AA197" s="465">
        <f t="shared" si="61"/>
        <v>-2.0580784874661417E-2</v>
      </c>
      <c r="AB197" s="465">
        <f t="shared" si="62"/>
        <v>0.63107500266155636</v>
      </c>
    </row>
    <row r="198" spans="1:28" x14ac:dyDescent="0.15">
      <c r="A198" s="384">
        <f t="shared" si="74"/>
        <v>196</v>
      </c>
      <c r="B198" s="401">
        <f t="shared" si="68"/>
        <v>39108</v>
      </c>
      <c r="C198" s="372"/>
      <c r="D198" s="390">
        <v>33961</v>
      </c>
      <c r="E198" s="387">
        <f>D198+SUM(Holdings_Old!$E$32:$E$35)</f>
        <v>33961</v>
      </c>
      <c r="F198" s="387">
        <f t="shared" si="69"/>
        <v>-655</v>
      </c>
      <c r="G198" s="388">
        <f t="shared" si="65"/>
        <v>-1.8921885833140695E-2</v>
      </c>
      <c r="H198" s="387">
        <f t="shared" si="66"/>
        <v>11105.150000000001</v>
      </c>
      <c r="I198" s="388">
        <f t="shared" si="67"/>
        <v>0.48587779496277772</v>
      </c>
      <c r="K198" s="372"/>
      <c r="L198" s="369">
        <v>1422.03</v>
      </c>
      <c r="M198" s="394">
        <f t="shared" si="59"/>
        <v>-5.9001586891022084E-3</v>
      </c>
      <c r="N198" s="394">
        <f t="shared" si="70"/>
        <v>0.52893299501118163</v>
      </c>
      <c r="O198" s="395" t="str">
        <f t="shared" si="71"/>
        <v>No</v>
      </c>
      <c r="P198" s="396">
        <f t="shared" ref="P198:P261" si="75">IF(O198="Yes",1,0)</f>
        <v>0</v>
      </c>
      <c r="Q198" s="394">
        <f>SUM($P$4:P198)/COUNT($P$4:P198)</f>
        <v>0.53333333333333333</v>
      </c>
      <c r="T198" s="394" t="e">
        <f t="shared" si="60"/>
        <v>#DIV/0!</v>
      </c>
      <c r="U198" s="394">
        <f t="shared" si="72"/>
        <v>-1</v>
      </c>
      <c r="V198" s="395" t="e">
        <f t="shared" si="73"/>
        <v>#DIV/0!</v>
      </c>
      <c r="W198" s="396" t="e">
        <f t="shared" ref="W198:W261" si="76">IF(V198="Yes",1,0)</f>
        <v>#DIV/0!</v>
      </c>
      <c r="X198" s="394" t="e">
        <f>SUM($W$4:W198)/COUNT($W$4:W198)</f>
        <v>#DIV/0!</v>
      </c>
      <c r="Z198" s="469">
        <v>2435.4899999999998</v>
      </c>
      <c r="AA198" s="465">
        <f t="shared" si="61"/>
        <v>-6.4536921074854758E-3</v>
      </c>
      <c r="AB198" s="465">
        <f t="shared" si="62"/>
        <v>0.62054854679016258</v>
      </c>
    </row>
    <row r="199" spans="1:28" x14ac:dyDescent="0.15">
      <c r="A199" s="384">
        <f t="shared" si="74"/>
        <v>197</v>
      </c>
      <c r="B199" s="401">
        <f t="shared" si="68"/>
        <v>39115</v>
      </c>
      <c r="C199" s="372"/>
      <c r="D199" s="390">
        <v>33962</v>
      </c>
      <c r="E199" s="387">
        <f>D199+SUM(Holdings_Old!$E$32:$E$35)</f>
        <v>33962</v>
      </c>
      <c r="F199" s="387">
        <f t="shared" si="69"/>
        <v>1</v>
      </c>
      <c r="G199" s="388">
        <f t="shared" si="65"/>
        <v>2.9445540472794463E-5</v>
      </c>
      <c r="H199" s="387">
        <f t="shared" si="66"/>
        <v>11106.150000000001</v>
      </c>
      <c r="I199" s="388">
        <f t="shared" si="67"/>
        <v>0.48592154743752713</v>
      </c>
      <c r="K199" s="372"/>
      <c r="L199" s="369">
        <v>1448.33</v>
      </c>
      <c r="M199" s="394">
        <f t="shared" si="59"/>
        <v>1.8494687172563085E-2</v>
      </c>
      <c r="N199" s="394">
        <f t="shared" si="70"/>
        <v>0.55721013246172357</v>
      </c>
      <c r="O199" s="395" t="str">
        <f t="shared" si="71"/>
        <v>No</v>
      </c>
      <c r="P199" s="396">
        <f t="shared" si="75"/>
        <v>0</v>
      </c>
      <c r="Q199" s="394">
        <f>SUM($P$4:P199)/COUNT($P$4:P199)</f>
        <v>0.53061224489795922</v>
      </c>
      <c r="T199" s="394" t="e">
        <f t="shared" si="60"/>
        <v>#DIV/0!</v>
      </c>
      <c r="U199" s="394">
        <f t="shared" si="72"/>
        <v>-1</v>
      </c>
      <c r="V199" s="395" t="e">
        <f t="shared" si="73"/>
        <v>#DIV/0!</v>
      </c>
      <c r="W199" s="396" t="e">
        <f t="shared" si="76"/>
        <v>#DIV/0!</v>
      </c>
      <c r="X199" s="394" t="e">
        <f>SUM($W$4:W199)/COUNT($W$4:W199)</f>
        <v>#DIV/0!</v>
      </c>
      <c r="Z199" s="469">
        <v>2475.88</v>
      </c>
      <c r="AA199" s="465">
        <f t="shared" si="61"/>
        <v>1.6583931775536076E-2</v>
      </c>
      <c r="AB199" s="465">
        <f t="shared" si="62"/>
        <v>0.64742361332907472</v>
      </c>
    </row>
    <row r="200" spans="1:28" x14ac:dyDescent="0.15">
      <c r="A200" s="384">
        <f t="shared" si="74"/>
        <v>198</v>
      </c>
      <c r="B200" s="401">
        <f t="shared" si="68"/>
        <v>39122</v>
      </c>
      <c r="C200" s="372"/>
      <c r="D200" s="390">
        <v>33963</v>
      </c>
      <c r="E200" s="387">
        <f>D200+SUM(Holdings_Old!$E$32:$E$35)</f>
        <v>33963</v>
      </c>
      <c r="F200" s="387">
        <f t="shared" si="69"/>
        <v>1</v>
      </c>
      <c r="G200" s="388">
        <f t="shared" si="65"/>
        <v>2.9444673458556281E-5</v>
      </c>
      <c r="H200" s="387">
        <f t="shared" si="66"/>
        <v>11107.150000000001</v>
      </c>
      <c r="I200" s="388">
        <f t="shared" si="67"/>
        <v>0.48596529991227633</v>
      </c>
      <c r="K200" s="372"/>
      <c r="L200" s="369">
        <v>1438</v>
      </c>
      <c r="M200" s="394">
        <f t="shared" si="59"/>
        <v>-7.1323524334923061E-3</v>
      </c>
      <c r="N200" s="394">
        <f t="shared" si="70"/>
        <v>0.54610356098400126</v>
      </c>
      <c r="O200" s="395" t="str">
        <f t="shared" si="71"/>
        <v>Yes</v>
      </c>
      <c r="P200" s="396">
        <f t="shared" si="75"/>
        <v>1</v>
      </c>
      <c r="Q200" s="394">
        <f>SUM($P$4:P200)/COUNT($P$4:P200)</f>
        <v>0.53299492385786806</v>
      </c>
      <c r="T200" s="394" t="e">
        <f t="shared" si="60"/>
        <v>#DIV/0!</v>
      </c>
      <c r="U200" s="394">
        <f t="shared" si="72"/>
        <v>-1</v>
      </c>
      <c r="V200" s="395" t="e">
        <f t="shared" si="73"/>
        <v>#DIV/0!</v>
      </c>
      <c r="W200" s="396" t="e">
        <f t="shared" si="76"/>
        <v>#DIV/0!</v>
      </c>
      <c r="X200" s="394" t="e">
        <f>SUM($W$4:W200)/COUNT($W$4:W200)</f>
        <v>#DIV/0!</v>
      </c>
      <c r="Z200" s="469">
        <v>2459.8200000000002</v>
      </c>
      <c r="AA200" s="465">
        <f t="shared" si="61"/>
        <v>-6.4865825484271555E-3</v>
      </c>
      <c r="AB200" s="465">
        <f t="shared" si="62"/>
        <v>0.63673746406898757</v>
      </c>
    </row>
    <row r="201" spans="1:28" x14ac:dyDescent="0.15">
      <c r="A201" s="384">
        <f t="shared" si="74"/>
        <v>199</v>
      </c>
      <c r="B201" s="401">
        <f t="shared" si="68"/>
        <v>39129</v>
      </c>
      <c r="C201" s="372"/>
      <c r="D201" s="390">
        <v>33964</v>
      </c>
      <c r="E201" s="387">
        <f>D201+SUM(Holdings_Old!$E$32:$E$35)</f>
        <v>33964</v>
      </c>
      <c r="F201" s="387">
        <f t="shared" si="69"/>
        <v>1</v>
      </c>
      <c r="G201" s="388">
        <f t="shared" ref="G201:G237" si="77">(E201/E200)-1</f>
        <v>2.9443806495388358E-5</v>
      </c>
      <c r="H201" s="387">
        <f t="shared" si="66"/>
        <v>11108.150000000001</v>
      </c>
      <c r="I201" s="388">
        <f t="shared" si="67"/>
        <v>0.48600905238702574</v>
      </c>
      <c r="K201" s="372"/>
      <c r="L201" s="369">
        <v>1455.53</v>
      </c>
      <c r="M201" s="394">
        <f t="shared" si="59"/>
        <v>1.2190542420027706E-2</v>
      </c>
      <c r="N201" s="394">
        <f t="shared" si="70"/>
        <v>0.56495140202993288</v>
      </c>
      <c r="O201" s="395" t="str">
        <f t="shared" si="71"/>
        <v>No</v>
      </c>
      <c r="P201" s="396">
        <f t="shared" si="75"/>
        <v>0</v>
      </c>
      <c r="Q201" s="394">
        <f>SUM($P$4:P201)/COUNT($P$4:P201)</f>
        <v>0.53030303030303028</v>
      </c>
      <c r="S201" s="369">
        <v>12767.57</v>
      </c>
      <c r="T201" s="394" t="e">
        <f t="shared" si="60"/>
        <v>#DIV/0!</v>
      </c>
      <c r="U201" s="394">
        <f t="shared" si="72"/>
        <v>0.48759711418810903</v>
      </c>
      <c r="V201" s="395" t="e">
        <f t="shared" si="73"/>
        <v>#DIV/0!</v>
      </c>
      <c r="W201" s="396" t="e">
        <f t="shared" si="76"/>
        <v>#DIV/0!</v>
      </c>
      <c r="X201" s="394" t="e">
        <f>SUM($W$4:W201)/COUNT($W$4:W201)</f>
        <v>#DIV/0!</v>
      </c>
      <c r="Z201" s="469">
        <v>2496.31</v>
      </c>
      <c r="AA201" s="465">
        <f t="shared" si="61"/>
        <v>1.4834418778609804E-2</v>
      </c>
      <c r="AB201" s="465">
        <f t="shared" si="62"/>
        <v>0.66101751304162648</v>
      </c>
    </row>
    <row r="202" spans="1:28" x14ac:dyDescent="0.15">
      <c r="A202" s="384">
        <f t="shared" si="74"/>
        <v>200</v>
      </c>
      <c r="B202" s="401">
        <f>B201+7</f>
        <v>39136</v>
      </c>
      <c r="D202" s="390">
        <v>32963</v>
      </c>
      <c r="E202" s="387">
        <f>D202+SUM(Holdings_Old!$E$32:$E$35)</f>
        <v>32963</v>
      </c>
      <c r="F202" s="387">
        <f t="shared" ref="F202:F233" si="78">E202-E201</f>
        <v>-1001</v>
      </c>
      <c r="G202" s="388">
        <f t="shared" si="77"/>
        <v>-2.9472382522671037E-2</v>
      </c>
      <c r="H202" s="387">
        <f t="shared" si="66"/>
        <v>10107.150000000001</v>
      </c>
      <c r="I202" s="388">
        <f t="shared" si="67"/>
        <v>0.44221282516292337</v>
      </c>
      <c r="L202" s="369">
        <v>1451.04</v>
      </c>
      <c r="M202" s="394">
        <f t="shared" si="59"/>
        <v>-3.0847869848096288E-3</v>
      </c>
      <c r="N202" s="394">
        <f t="shared" si="70"/>
        <v>0.56012386031309114</v>
      </c>
      <c r="O202" s="395" t="str">
        <f t="shared" si="71"/>
        <v>No</v>
      </c>
      <c r="P202" s="396">
        <f t="shared" si="75"/>
        <v>0</v>
      </c>
      <c r="Q202" s="394">
        <f>SUM($P$4:P202)/COUNT($P$4:P202)</f>
        <v>0.52763819095477382</v>
      </c>
      <c r="S202" s="369">
        <v>12767.57</v>
      </c>
      <c r="T202" s="394">
        <f t="shared" si="60"/>
        <v>0</v>
      </c>
      <c r="U202" s="394">
        <f t="shared" si="72"/>
        <v>0.48759711418810903</v>
      </c>
      <c r="V202" s="395" t="str">
        <f t="shared" si="73"/>
        <v>No</v>
      </c>
      <c r="W202" s="396">
        <f t="shared" si="76"/>
        <v>0</v>
      </c>
      <c r="X202" s="394" t="e">
        <f>SUM($W$4:W202)/COUNT($W$4:W202)</f>
        <v>#DIV/0!</v>
      </c>
      <c r="Z202" s="469">
        <v>2515.1</v>
      </c>
      <c r="AA202" s="465">
        <f t="shared" si="61"/>
        <v>7.527110014381222E-3</v>
      </c>
      <c r="AB202" s="465">
        <f t="shared" si="62"/>
        <v>0.67352017459810476</v>
      </c>
    </row>
    <row r="203" spans="1:28" x14ac:dyDescent="0.15">
      <c r="A203" s="384">
        <f t="shared" si="74"/>
        <v>201</v>
      </c>
      <c r="B203" s="401">
        <f t="shared" ref="B203:B266" si="79">B202+7</f>
        <v>39143</v>
      </c>
      <c r="D203" s="390">
        <v>32964</v>
      </c>
      <c r="E203" s="387">
        <f>D203+SUM(Holdings_Old!$E$32:$E$35)</f>
        <v>32964</v>
      </c>
      <c r="F203" s="387">
        <f t="shared" si="78"/>
        <v>1</v>
      </c>
      <c r="G203" s="388">
        <f t="shared" si="77"/>
        <v>3.0337044565120763E-5</v>
      </c>
      <c r="H203" s="387">
        <f t="shared" si="66"/>
        <v>10108.150000000001</v>
      </c>
      <c r="I203" s="388">
        <f t="shared" si="67"/>
        <v>0.44225657763767279</v>
      </c>
      <c r="L203" s="369">
        <v>1387.11</v>
      </c>
      <c r="M203" s="394">
        <f t="shared" ref="M203:M266" si="80">(L203/L202)-1</f>
        <v>-4.4058054912338829E-2</v>
      </c>
      <c r="N203" s="394">
        <f t="shared" si="70"/>
        <v>0.49138783760536708</v>
      </c>
      <c r="O203" s="395" t="str">
        <f t="shared" si="71"/>
        <v>Yes</v>
      </c>
      <c r="P203" s="396">
        <f t="shared" si="75"/>
        <v>1</v>
      </c>
      <c r="Q203" s="394">
        <f>SUM($P$4:P203)/COUNT($P$4:P203)</f>
        <v>0.53</v>
      </c>
      <c r="W203" s="396">
        <f t="shared" si="76"/>
        <v>0</v>
      </c>
      <c r="X203" s="394" t="e">
        <f>SUM($W$4:W203)/COUNT($W$4:W203)</f>
        <v>#DIV/0!</v>
      </c>
      <c r="Z203" s="469"/>
    </row>
    <row r="204" spans="1:28" x14ac:dyDescent="0.15">
      <c r="A204" s="384">
        <f t="shared" si="74"/>
        <v>202</v>
      </c>
      <c r="B204" s="401">
        <f t="shared" si="79"/>
        <v>39150</v>
      </c>
      <c r="D204" s="390">
        <v>32965</v>
      </c>
      <c r="E204" s="387">
        <f>D204+SUM(Holdings_Old!$E$32:$E$35)</f>
        <v>32965</v>
      </c>
      <c r="F204" s="387">
        <f t="shared" si="78"/>
        <v>1</v>
      </c>
      <c r="G204" s="388">
        <f t="shared" si="77"/>
        <v>3.033612425684673E-5</v>
      </c>
      <c r="H204" s="387">
        <f t="shared" si="66"/>
        <v>10109.150000000001</v>
      </c>
      <c r="I204" s="388">
        <f t="shared" si="67"/>
        <v>0.44230033011242198</v>
      </c>
      <c r="L204" s="369">
        <v>1402.8</v>
      </c>
      <c r="M204" s="394">
        <f t="shared" si="80"/>
        <v>1.1311287497026257E-2</v>
      </c>
      <c r="N204" s="394">
        <f t="shared" si="70"/>
        <v>0.50825735420608975</v>
      </c>
      <c r="O204" s="395" t="str">
        <f t="shared" si="71"/>
        <v>No</v>
      </c>
      <c r="P204" s="396">
        <f t="shared" si="75"/>
        <v>0</v>
      </c>
      <c r="Q204" s="394">
        <f>SUM($P$4:P204)/COUNT($P$4:P204)</f>
        <v>0.52736318407960203</v>
      </c>
      <c r="W204" s="396">
        <f t="shared" si="76"/>
        <v>0</v>
      </c>
      <c r="X204" s="394" t="e">
        <f>SUM($W$4:W204)/COUNT($W$4:W204)</f>
        <v>#DIV/0!</v>
      </c>
      <c r="Z204" s="469"/>
    </row>
    <row r="205" spans="1:28" x14ac:dyDescent="0.15">
      <c r="A205" s="384">
        <f t="shared" si="74"/>
        <v>203</v>
      </c>
      <c r="B205" s="401">
        <f t="shared" si="79"/>
        <v>39157</v>
      </c>
      <c r="D205" s="390">
        <v>32966</v>
      </c>
      <c r="E205" s="387">
        <f>D205+SUM(Holdings_Old!$E$32:$E$35)</f>
        <v>32966</v>
      </c>
      <c r="F205" s="387">
        <f t="shared" si="78"/>
        <v>1</v>
      </c>
      <c r="G205" s="388">
        <f t="shared" si="77"/>
        <v>3.0335204004305893E-5</v>
      </c>
      <c r="H205" s="387">
        <f t="shared" si="66"/>
        <v>10110.150000000001</v>
      </c>
      <c r="I205" s="388">
        <f t="shared" si="67"/>
        <v>0.44234408258717139</v>
      </c>
      <c r="L205" s="369">
        <v>1386.95</v>
      </c>
      <c r="M205" s="394">
        <f t="shared" si="80"/>
        <v>-1.1298830909609259E-2</v>
      </c>
      <c r="N205" s="394">
        <f t="shared" si="70"/>
        <v>0.49121580939274034</v>
      </c>
      <c r="O205" s="395" t="str">
        <f t="shared" si="71"/>
        <v>Yes</v>
      </c>
      <c r="P205" s="396">
        <f t="shared" si="75"/>
        <v>1</v>
      </c>
      <c r="Q205" s="394">
        <f>SUM($P$4:P205)/COUNT($P$4:P205)</f>
        <v>0.52970297029702973</v>
      </c>
      <c r="W205" s="396">
        <f t="shared" si="76"/>
        <v>0</v>
      </c>
      <c r="X205" s="394" t="e">
        <f>SUM($W$4:W205)/COUNT($W$4:W205)</f>
        <v>#DIV/0!</v>
      </c>
      <c r="Z205" s="469"/>
    </row>
    <row r="206" spans="1:28" x14ac:dyDescent="0.15">
      <c r="A206" s="384">
        <f t="shared" si="74"/>
        <v>204</v>
      </c>
      <c r="B206" s="401">
        <f t="shared" si="79"/>
        <v>39164</v>
      </c>
      <c r="D206" s="390">
        <v>32967</v>
      </c>
      <c r="E206" s="387">
        <f>D206+SUM(Holdings_Old!$E$32:$E$35)</f>
        <v>32967</v>
      </c>
      <c r="F206" s="387">
        <f t="shared" si="78"/>
        <v>1</v>
      </c>
      <c r="G206" s="388">
        <f t="shared" si="77"/>
        <v>3.0334283807498252E-5</v>
      </c>
      <c r="H206" s="387">
        <f t="shared" si="66"/>
        <v>10111.150000000001</v>
      </c>
      <c r="I206" s="388">
        <f t="shared" si="67"/>
        <v>0.44238783506192081</v>
      </c>
      <c r="L206" s="369">
        <v>1436.11</v>
      </c>
      <c r="M206" s="394">
        <f t="shared" si="80"/>
        <v>3.5444680774360915E-2</v>
      </c>
      <c r="N206" s="394">
        <f t="shared" si="70"/>
        <v>0.54407147772234632</v>
      </c>
      <c r="O206" s="395" t="str">
        <f t="shared" si="71"/>
        <v>No</v>
      </c>
      <c r="P206" s="396">
        <f t="shared" si="75"/>
        <v>0</v>
      </c>
      <c r="Q206" s="394">
        <f>SUM($P$4:P206)/COUNT($P$4:P206)</f>
        <v>0.52709359605911332</v>
      </c>
      <c r="W206" s="396">
        <f t="shared" si="76"/>
        <v>0</v>
      </c>
      <c r="X206" s="394" t="e">
        <f>SUM($W$4:W206)/COUNT($W$4:W206)</f>
        <v>#DIV/0!</v>
      </c>
      <c r="Z206" s="469"/>
    </row>
    <row r="207" spans="1:28" x14ac:dyDescent="0.15">
      <c r="A207" s="384">
        <f t="shared" si="74"/>
        <v>205</v>
      </c>
      <c r="B207" s="401">
        <f t="shared" si="79"/>
        <v>39171</v>
      </c>
      <c r="D207" s="390">
        <v>33284</v>
      </c>
      <c r="E207" s="387">
        <f>D207+SUM(Holdings_Old!$E$32:$E$35)</f>
        <v>33284</v>
      </c>
      <c r="F207" s="387">
        <f t="shared" si="78"/>
        <v>317</v>
      </c>
      <c r="G207" s="388">
        <f t="shared" si="77"/>
        <v>9.6156762823429442E-3</v>
      </c>
      <c r="H207" s="387">
        <f t="shared" si="66"/>
        <v>10428.150000000001</v>
      </c>
      <c r="I207" s="388">
        <f t="shared" si="67"/>
        <v>0.45625736955746565</v>
      </c>
      <c r="L207" s="369">
        <v>1420.83</v>
      </c>
      <c r="M207" s="394">
        <f t="shared" si="80"/>
        <v>-1.0639853493116802E-2</v>
      </c>
      <c r="N207" s="394">
        <f t="shared" si="70"/>
        <v>0.52764278341648008</v>
      </c>
      <c r="O207" s="395" t="str">
        <f t="shared" si="71"/>
        <v>Yes</v>
      </c>
      <c r="P207" s="396">
        <f t="shared" si="75"/>
        <v>1</v>
      </c>
      <c r="Q207" s="394">
        <f>SUM($P$4:P207)/COUNT($P$4:P207)</f>
        <v>0.52941176470588236</v>
      </c>
      <c r="W207" s="396">
        <f t="shared" si="76"/>
        <v>0</v>
      </c>
      <c r="X207" s="394" t="e">
        <f>SUM($W$4:W207)/COUNT($W$4:W207)</f>
        <v>#DIV/0!</v>
      </c>
      <c r="Z207" s="469"/>
    </row>
    <row r="208" spans="1:28" x14ac:dyDescent="0.15">
      <c r="A208" s="384">
        <f t="shared" si="74"/>
        <v>206</v>
      </c>
      <c r="B208" s="401">
        <f t="shared" si="79"/>
        <v>39178</v>
      </c>
      <c r="D208" s="390">
        <v>33285</v>
      </c>
      <c r="E208" s="387">
        <f>D208+SUM(Holdings_Old!$E$32:$E$35)</f>
        <v>33285</v>
      </c>
      <c r="F208" s="387">
        <f t="shared" si="78"/>
        <v>1</v>
      </c>
      <c r="G208" s="388">
        <f t="shared" si="77"/>
        <v>3.0044465809453413E-5</v>
      </c>
      <c r="H208" s="387">
        <f t="shared" si="66"/>
        <v>10429.150000000001</v>
      </c>
      <c r="I208" s="388">
        <f t="shared" si="67"/>
        <v>0.45630112203221507</v>
      </c>
      <c r="L208" s="369">
        <v>1443.77</v>
      </c>
      <c r="M208" s="394">
        <f t="shared" si="80"/>
        <v>1.6145492423442764E-2</v>
      </c>
      <c r="N208" s="394">
        <f t="shared" si="70"/>
        <v>0.55230732840185781</v>
      </c>
      <c r="O208" s="395" t="str">
        <f t="shared" si="71"/>
        <v>No</v>
      </c>
      <c r="P208" s="396">
        <f t="shared" si="75"/>
        <v>0</v>
      </c>
      <c r="Q208" s="394">
        <f>SUM($P$4:P208)/COUNT($P$4:P208)</f>
        <v>0.52682926829268295</v>
      </c>
      <c r="W208" s="396">
        <f t="shared" si="76"/>
        <v>0</v>
      </c>
      <c r="X208" s="394" t="e">
        <f>SUM($W$4:W208)/COUNT($W$4:W208)</f>
        <v>#DIV/0!</v>
      </c>
      <c r="Z208" s="469"/>
    </row>
    <row r="209" spans="1:26" x14ac:dyDescent="0.15">
      <c r="A209" s="384">
        <f t="shared" si="74"/>
        <v>207</v>
      </c>
      <c r="B209" s="401">
        <f t="shared" si="79"/>
        <v>39185</v>
      </c>
      <c r="D209" s="390">
        <v>33286</v>
      </c>
      <c r="E209" s="387">
        <f>D209+SUM(Holdings_Old!$E$32:$E$35)</f>
        <v>33286</v>
      </c>
      <c r="F209" s="387">
        <f t="shared" si="78"/>
        <v>1</v>
      </c>
      <c r="G209" s="388">
        <f t="shared" si="77"/>
        <v>3.0043563166604059E-5</v>
      </c>
      <c r="H209" s="387">
        <f t="shared" si="66"/>
        <v>10430.150000000001</v>
      </c>
      <c r="I209" s="388">
        <f t="shared" si="67"/>
        <v>0.45634487450696448</v>
      </c>
      <c r="L209" s="369">
        <v>1452.84</v>
      </c>
      <c r="M209" s="394">
        <f t="shared" si="80"/>
        <v>6.2821640566017578E-3</v>
      </c>
      <c r="N209" s="394">
        <f t="shared" si="70"/>
        <v>0.56205917770514358</v>
      </c>
      <c r="O209" s="395" t="str">
        <f t="shared" si="71"/>
        <v>No</v>
      </c>
      <c r="P209" s="396">
        <f t="shared" si="75"/>
        <v>0</v>
      </c>
      <c r="Q209" s="394">
        <f>SUM($P$4:P209)/COUNT($P$4:P209)</f>
        <v>0.52427184466019416</v>
      </c>
      <c r="W209" s="396">
        <f t="shared" si="76"/>
        <v>0</v>
      </c>
      <c r="X209" s="394" t="e">
        <f>SUM($W$4:W209)/COUNT($W$4:W209)</f>
        <v>#DIV/0!</v>
      </c>
      <c r="Z209" s="469"/>
    </row>
    <row r="210" spans="1:26" x14ac:dyDescent="0.15">
      <c r="A210" s="384">
        <f t="shared" si="74"/>
        <v>208</v>
      </c>
      <c r="B210" s="401">
        <f t="shared" si="79"/>
        <v>39192</v>
      </c>
      <c r="D210" s="390">
        <v>33287</v>
      </c>
      <c r="E210" s="387">
        <f>D210+SUM(Holdings_Old!$E$32:$E$35)</f>
        <v>33287</v>
      </c>
      <c r="F210" s="387">
        <f t="shared" si="78"/>
        <v>1</v>
      </c>
      <c r="G210" s="388">
        <f t="shared" si="77"/>
        <v>3.0042660577933589E-5</v>
      </c>
      <c r="H210" s="387">
        <f t="shared" si="66"/>
        <v>10431.150000000001</v>
      </c>
      <c r="I210" s="388">
        <f t="shared" si="67"/>
        <v>0.45638862698171367</v>
      </c>
      <c r="L210" s="369">
        <v>1484.33</v>
      </c>
      <c r="M210" s="394">
        <f t="shared" si="80"/>
        <v>2.1674788689738822E-2</v>
      </c>
      <c r="N210" s="394">
        <f t="shared" si="70"/>
        <v>0.59591648030276945</v>
      </c>
      <c r="O210" s="395" t="str">
        <f t="shared" si="71"/>
        <v>No</v>
      </c>
      <c r="P210" s="396">
        <f t="shared" si="75"/>
        <v>0</v>
      </c>
      <c r="Q210" s="394">
        <f>SUM($P$4:P210)/COUNT($P$4:P210)</f>
        <v>0.52173913043478259</v>
      </c>
      <c r="W210" s="396">
        <f t="shared" si="76"/>
        <v>0</v>
      </c>
      <c r="X210" s="394" t="e">
        <f>SUM($W$4:W210)/COUNT($W$4:W210)</f>
        <v>#DIV/0!</v>
      </c>
      <c r="Z210" s="469"/>
    </row>
    <row r="211" spans="1:26" x14ac:dyDescent="0.15">
      <c r="A211" s="384">
        <f t="shared" si="74"/>
        <v>209</v>
      </c>
      <c r="B211" s="401">
        <f t="shared" si="79"/>
        <v>39199</v>
      </c>
      <c r="D211" s="390">
        <v>34908</v>
      </c>
      <c r="E211" s="387">
        <f>D211+SUM(Holdings_Old!$E$32:$E$35)</f>
        <v>34908</v>
      </c>
      <c r="F211" s="387">
        <f t="shared" si="78"/>
        <v>1621</v>
      </c>
      <c r="G211" s="388">
        <f t="shared" si="77"/>
        <v>4.8697689788806509E-2</v>
      </c>
      <c r="H211" s="387">
        <f t="shared" si="66"/>
        <v>12052.150000000001</v>
      </c>
      <c r="I211" s="388">
        <f t="shared" si="67"/>
        <v>0.52731138855041504</v>
      </c>
      <c r="L211" s="369">
        <v>1494.07</v>
      </c>
      <c r="M211" s="394">
        <f t="shared" si="80"/>
        <v>6.5618831391940358E-3</v>
      </c>
      <c r="N211" s="394">
        <f t="shared" si="70"/>
        <v>0.60638869774643034</v>
      </c>
      <c r="O211" s="395" t="str">
        <f t="shared" si="71"/>
        <v>Yes</v>
      </c>
      <c r="P211" s="396">
        <f t="shared" si="75"/>
        <v>1</v>
      </c>
      <c r="Q211" s="394">
        <f>SUM($P$4:P211)/COUNT($P$4:P211)</f>
        <v>0.52403846153846156</v>
      </c>
      <c r="W211" s="396">
        <f t="shared" si="76"/>
        <v>0</v>
      </c>
      <c r="X211" s="394" t="e">
        <f>SUM($W$4:W211)/COUNT($W$4:W211)</f>
        <v>#DIV/0!</v>
      </c>
      <c r="Z211" s="469"/>
    </row>
    <row r="212" spans="1:26" x14ac:dyDescent="0.15">
      <c r="A212" s="384">
        <f t="shared" si="74"/>
        <v>210</v>
      </c>
      <c r="B212" s="401">
        <f t="shared" si="79"/>
        <v>39206</v>
      </c>
      <c r="D212" s="390">
        <v>34909</v>
      </c>
      <c r="E212" s="387">
        <f>D212+SUM(Holdings_Old!$E$32:$E$35)</f>
        <v>34909</v>
      </c>
      <c r="F212" s="387">
        <f t="shared" si="78"/>
        <v>1</v>
      </c>
      <c r="G212" s="388">
        <f t="shared" si="77"/>
        <v>2.8646728543524347E-5</v>
      </c>
      <c r="H212" s="387">
        <f t="shared" si="66"/>
        <v>12053.150000000001</v>
      </c>
      <c r="I212" s="388">
        <f t="shared" si="67"/>
        <v>0.52735514102516423</v>
      </c>
      <c r="L212" s="369">
        <v>1505.57</v>
      </c>
      <c r="M212" s="394">
        <f t="shared" si="80"/>
        <v>7.6970958522692978E-3</v>
      </c>
      <c r="N212" s="394">
        <f t="shared" si="70"/>
        <v>0.61875322552898671</v>
      </c>
      <c r="O212" s="395" t="str">
        <f t="shared" si="71"/>
        <v>No</v>
      </c>
      <c r="P212" s="396">
        <f t="shared" si="75"/>
        <v>0</v>
      </c>
      <c r="Q212" s="394">
        <f>SUM($P$4:P212)/COUNT($P$4:P212)</f>
        <v>0.52153110047846885</v>
      </c>
      <c r="W212" s="396">
        <f t="shared" si="76"/>
        <v>0</v>
      </c>
      <c r="X212" s="394" t="e">
        <f>SUM($W$4:W212)/COUNT($W$4:W212)</f>
        <v>#DIV/0!</v>
      </c>
      <c r="Z212" s="469"/>
    </row>
    <row r="213" spans="1:26" x14ac:dyDescent="0.15">
      <c r="A213" s="384">
        <f t="shared" si="74"/>
        <v>211</v>
      </c>
      <c r="B213" s="401">
        <f t="shared" si="79"/>
        <v>39213</v>
      </c>
      <c r="D213" s="390">
        <v>34910</v>
      </c>
      <c r="E213" s="387">
        <f>D213+SUM(Holdings_Old!$E$32:$E$35)</f>
        <v>34910</v>
      </c>
      <c r="F213" s="387">
        <f t="shared" si="78"/>
        <v>1</v>
      </c>
      <c r="G213" s="388">
        <f t="shared" si="77"/>
        <v>2.8645907931945658E-5</v>
      </c>
      <c r="H213" s="387">
        <f t="shared" si="66"/>
        <v>12054.150000000001</v>
      </c>
      <c r="I213" s="388">
        <f t="shared" si="67"/>
        <v>0.52739889349991365</v>
      </c>
      <c r="L213" s="369">
        <v>1505.76</v>
      </c>
      <c r="M213" s="394">
        <f t="shared" si="80"/>
        <v>1.2619805123637029E-4</v>
      </c>
      <c r="N213" s="394">
        <f t="shared" si="70"/>
        <v>0.61895750903148117</v>
      </c>
      <c r="O213" s="395" t="str">
        <f t="shared" si="71"/>
        <v>No</v>
      </c>
      <c r="P213" s="396">
        <f t="shared" si="75"/>
        <v>0</v>
      </c>
      <c r="Q213" s="394">
        <f>SUM($P$4:P213)/COUNT($P$4:P213)</f>
        <v>0.51904761904761909</v>
      </c>
      <c r="W213" s="396">
        <f t="shared" si="76"/>
        <v>0</v>
      </c>
      <c r="X213" s="394" t="e">
        <f>SUM($W$4:W213)/COUNT($W$4:W213)</f>
        <v>#DIV/0!</v>
      </c>
      <c r="Z213" s="469"/>
    </row>
    <row r="214" spans="1:26" x14ac:dyDescent="0.15">
      <c r="A214" s="384">
        <f t="shared" si="74"/>
        <v>212</v>
      </c>
      <c r="B214" s="401">
        <f t="shared" si="79"/>
        <v>39220</v>
      </c>
      <c r="D214" s="390">
        <v>34911</v>
      </c>
      <c r="E214" s="387">
        <f>D214+SUM(Holdings_Old!$E$32:$E$35)</f>
        <v>34911</v>
      </c>
      <c r="F214" s="387">
        <f t="shared" si="78"/>
        <v>1</v>
      </c>
      <c r="G214" s="388">
        <f t="shared" si="77"/>
        <v>2.8645087367440425E-5</v>
      </c>
      <c r="H214" s="387">
        <f t="shared" si="66"/>
        <v>12055.150000000001</v>
      </c>
      <c r="I214" s="388">
        <f t="shared" si="67"/>
        <v>0.52744264597466306</v>
      </c>
      <c r="L214" s="369">
        <v>1522.75</v>
      </c>
      <c r="M214" s="394">
        <f t="shared" si="80"/>
        <v>1.1283338646264962E-2</v>
      </c>
      <c r="N214" s="394">
        <f t="shared" si="70"/>
        <v>0.6372247548597969</v>
      </c>
      <c r="O214" s="395" t="str">
        <f t="shared" si="71"/>
        <v>No</v>
      </c>
      <c r="P214" s="396">
        <f t="shared" si="75"/>
        <v>0</v>
      </c>
      <c r="Q214" s="394">
        <f>SUM($P$4:P214)/COUNT($P$4:P214)</f>
        <v>0.51658767772511849</v>
      </c>
      <c r="W214" s="396">
        <f t="shared" si="76"/>
        <v>0</v>
      </c>
      <c r="X214" s="394" t="e">
        <f>SUM($W$4:W214)/COUNT($W$4:W214)</f>
        <v>#DIV/0!</v>
      </c>
      <c r="Z214" s="469"/>
    </row>
    <row r="215" spans="1:26" x14ac:dyDescent="0.15">
      <c r="A215" s="384">
        <f t="shared" si="74"/>
        <v>213</v>
      </c>
      <c r="B215" s="401">
        <f t="shared" si="79"/>
        <v>39227</v>
      </c>
      <c r="D215" s="390">
        <f>36654-1000</f>
        <v>35654</v>
      </c>
      <c r="E215" s="387">
        <f>D215+SUM(Holdings_Old!$E$32:$E$35)</f>
        <v>35654</v>
      </c>
      <c r="F215" s="387">
        <f t="shared" si="78"/>
        <v>743</v>
      </c>
      <c r="G215" s="388">
        <f t="shared" si="77"/>
        <v>2.1282690269542659E-2</v>
      </c>
      <c r="H215" s="387">
        <f t="shared" si="66"/>
        <v>12798.150000000001</v>
      </c>
      <c r="I215" s="388">
        <f t="shared" si="67"/>
        <v>0.55995073471343226</v>
      </c>
      <c r="L215" s="369">
        <v>1515.55</v>
      </c>
      <c r="M215" s="394">
        <f t="shared" si="80"/>
        <v>-4.7282876374979965E-3</v>
      </c>
      <c r="N215" s="394">
        <f t="shared" si="70"/>
        <v>0.6294834852915876</v>
      </c>
      <c r="O215" s="395" t="str">
        <f t="shared" si="71"/>
        <v>Yes</v>
      </c>
      <c r="P215" s="396">
        <f t="shared" si="75"/>
        <v>1</v>
      </c>
      <c r="Q215" s="394">
        <f>SUM($P$4:P215)/COUNT($P$4:P215)</f>
        <v>0.51886792452830188</v>
      </c>
      <c r="W215" s="396">
        <f t="shared" si="76"/>
        <v>0</v>
      </c>
      <c r="X215" s="394" t="e">
        <f>SUM($W$4:W215)/COUNT($W$4:W215)</f>
        <v>#DIV/0!</v>
      </c>
      <c r="Z215" s="469"/>
    </row>
    <row r="216" spans="1:26" x14ac:dyDescent="0.15">
      <c r="A216" s="384">
        <f t="shared" si="74"/>
        <v>214</v>
      </c>
      <c r="B216" s="401">
        <f t="shared" si="79"/>
        <v>39234</v>
      </c>
      <c r="D216" s="390">
        <f>36654-1000</f>
        <v>35654</v>
      </c>
      <c r="E216" s="387">
        <f>D216+SUM(Holdings_Old!$E$32:$E$35)</f>
        <v>35654</v>
      </c>
      <c r="F216" s="387">
        <f t="shared" si="78"/>
        <v>0</v>
      </c>
      <c r="G216" s="388">
        <f t="shared" si="77"/>
        <v>0</v>
      </c>
      <c r="H216" s="387">
        <f t="shared" si="66"/>
        <v>12798.150000000001</v>
      </c>
      <c r="I216" s="388">
        <f t="shared" si="67"/>
        <v>0.55995073471343226</v>
      </c>
      <c r="L216" s="369">
        <v>1536.28</v>
      </c>
      <c r="M216" s="394">
        <f t="shared" si="80"/>
        <v>1.3678202632707581E-2</v>
      </c>
      <c r="N216" s="394">
        <f t="shared" si="70"/>
        <v>0.65177189059005669</v>
      </c>
      <c r="O216" s="395" t="str">
        <f t="shared" si="71"/>
        <v>No</v>
      </c>
      <c r="P216" s="396">
        <f t="shared" si="75"/>
        <v>0</v>
      </c>
      <c r="Q216" s="394">
        <f>SUM($P$4:P216)/COUNT($P$4:P216)</f>
        <v>0.51643192488262912</v>
      </c>
      <c r="W216" s="396">
        <f t="shared" si="76"/>
        <v>0</v>
      </c>
      <c r="X216" s="394" t="e">
        <f>SUM($W$4:W216)/COUNT($W$4:W216)</f>
        <v>#DIV/0!</v>
      </c>
      <c r="Z216" s="469"/>
    </row>
    <row r="217" spans="1:26" x14ac:dyDescent="0.15">
      <c r="A217" s="384">
        <f t="shared" si="74"/>
        <v>215</v>
      </c>
      <c r="B217" s="401">
        <f t="shared" si="79"/>
        <v>39241</v>
      </c>
      <c r="D217" s="390">
        <f>36654-1000</f>
        <v>35654</v>
      </c>
      <c r="E217" s="387">
        <f>D217+SUM(Holdings_Old!$E$32:$E$35)</f>
        <v>35654</v>
      </c>
      <c r="F217" s="387">
        <f t="shared" si="78"/>
        <v>0</v>
      </c>
      <c r="G217" s="388">
        <f t="shared" si="77"/>
        <v>0</v>
      </c>
      <c r="H217" s="387">
        <f t="shared" si="66"/>
        <v>12798.150000000001</v>
      </c>
      <c r="I217" s="388">
        <f t="shared" si="67"/>
        <v>0.55995073471343226</v>
      </c>
      <c r="L217" s="369">
        <v>1507.64</v>
      </c>
      <c r="M217" s="394">
        <f t="shared" si="80"/>
        <v>-1.8642434972791389E-2</v>
      </c>
      <c r="N217" s="394">
        <f t="shared" si="70"/>
        <v>0.62097884052984686</v>
      </c>
      <c r="O217" s="395" t="str">
        <f t="shared" si="71"/>
        <v>Yes</v>
      </c>
      <c r="P217" s="396">
        <f t="shared" si="75"/>
        <v>1</v>
      </c>
      <c r="Q217" s="394">
        <f>SUM($P$4:P217)/COUNT($P$4:P217)</f>
        <v>0.51869158878504673</v>
      </c>
      <c r="W217" s="396">
        <f t="shared" si="76"/>
        <v>0</v>
      </c>
      <c r="X217" s="394" t="e">
        <f>SUM($W$4:W217)/COUNT($W$4:W217)</f>
        <v>#DIV/0!</v>
      </c>
      <c r="Z217" s="469"/>
    </row>
    <row r="218" spans="1:26" x14ac:dyDescent="0.15">
      <c r="A218" s="384">
        <f t="shared" si="74"/>
        <v>216</v>
      </c>
      <c r="B218" s="401">
        <f t="shared" si="79"/>
        <v>39248</v>
      </c>
      <c r="D218" s="390">
        <f>36654-1000</f>
        <v>35654</v>
      </c>
      <c r="E218" s="387">
        <f>D218+SUM(Holdings_Old!$E$32:$E$35)</f>
        <v>35654</v>
      </c>
      <c r="F218" s="387">
        <f t="shared" si="78"/>
        <v>0</v>
      </c>
      <c r="G218" s="388">
        <f t="shared" si="77"/>
        <v>0</v>
      </c>
      <c r="H218" s="387">
        <f t="shared" si="66"/>
        <v>12798.150000000001</v>
      </c>
      <c r="I218" s="388">
        <f t="shared" si="67"/>
        <v>0.55995073471343226</v>
      </c>
      <c r="L218" s="369">
        <v>1532.9</v>
      </c>
      <c r="M218" s="394">
        <f t="shared" si="80"/>
        <v>1.6754662916876661E-2</v>
      </c>
      <c r="N218" s="394">
        <f t="shared" si="70"/>
        <v>0.64813779459831422</v>
      </c>
      <c r="O218" s="395" t="str">
        <f t="shared" si="71"/>
        <v>No</v>
      </c>
      <c r="P218" s="396">
        <f t="shared" si="75"/>
        <v>0</v>
      </c>
      <c r="Q218" s="394">
        <f>SUM($P$4:P218)/COUNT($P$4:P218)</f>
        <v>0.51627906976744187</v>
      </c>
      <c r="W218" s="396">
        <f t="shared" si="76"/>
        <v>0</v>
      </c>
      <c r="X218" s="394" t="e">
        <f>SUM($W$4:W218)/COUNT($W$4:W218)</f>
        <v>#DIV/0!</v>
      </c>
      <c r="Z218" s="469"/>
    </row>
    <row r="219" spans="1:26" x14ac:dyDescent="0.15">
      <c r="A219" s="384">
        <f t="shared" si="74"/>
        <v>217</v>
      </c>
      <c r="B219" s="401">
        <f t="shared" si="79"/>
        <v>39255</v>
      </c>
      <c r="D219" s="390">
        <f>36654-1000</f>
        <v>35654</v>
      </c>
      <c r="E219" s="387">
        <f>D219+SUM(Holdings_Old!$E$32:$E$35)</f>
        <v>35654</v>
      </c>
      <c r="F219" s="387">
        <f t="shared" si="78"/>
        <v>0</v>
      </c>
      <c r="G219" s="388">
        <f t="shared" si="77"/>
        <v>0</v>
      </c>
      <c r="H219" s="387">
        <f t="shared" si="66"/>
        <v>12798.150000000001</v>
      </c>
      <c r="I219" s="388">
        <f t="shared" si="67"/>
        <v>0.55995073471343226</v>
      </c>
      <c r="L219" s="369">
        <v>1502.56</v>
      </c>
      <c r="M219" s="394">
        <f t="shared" si="80"/>
        <v>-1.9792550068497672E-2</v>
      </c>
      <c r="N219" s="394">
        <f t="shared" si="70"/>
        <v>0.6155169447789437</v>
      </c>
      <c r="O219" s="395" t="str">
        <f t="shared" si="71"/>
        <v>Yes</v>
      </c>
      <c r="P219" s="396">
        <f t="shared" si="75"/>
        <v>1</v>
      </c>
      <c r="Q219" s="394">
        <f>SUM($P$4:P219)/COUNT($P$4:P219)</f>
        <v>0.51851851851851849</v>
      </c>
      <c r="W219" s="396">
        <f t="shared" si="76"/>
        <v>0</v>
      </c>
      <c r="X219" s="394" t="e">
        <f>SUM($W$4:W219)/COUNT($W$4:W219)</f>
        <v>#DIV/0!</v>
      </c>
      <c r="Z219" s="469"/>
    </row>
    <row r="220" spans="1:26" x14ac:dyDescent="0.15">
      <c r="A220" s="384">
        <f t="shared" si="74"/>
        <v>218</v>
      </c>
      <c r="B220" s="401">
        <f t="shared" si="79"/>
        <v>39262</v>
      </c>
      <c r="D220" s="390">
        <v>36359</v>
      </c>
      <c r="E220" s="387">
        <f>D220+SUM(Holdings_Old!$E$32:$E$35)</f>
        <v>36359</v>
      </c>
      <c r="F220" s="387">
        <f t="shared" si="78"/>
        <v>705</v>
      </c>
      <c r="G220" s="388">
        <f t="shared" si="77"/>
        <v>1.9773377461154373E-2</v>
      </c>
      <c r="H220" s="387">
        <f t="shared" si="66"/>
        <v>13503.150000000001</v>
      </c>
      <c r="I220" s="388">
        <f t="shared" si="67"/>
        <v>0.59079622941172616</v>
      </c>
      <c r="L220" s="369">
        <v>1504.66</v>
      </c>
      <c r="M220" s="394">
        <f t="shared" si="80"/>
        <v>1.397614737514763E-3</v>
      </c>
      <c r="N220" s="394">
        <f t="shared" si="70"/>
        <v>0.61777481506967136</v>
      </c>
      <c r="O220" s="395" t="str">
        <f t="shared" si="71"/>
        <v>Yes</v>
      </c>
      <c r="P220" s="396">
        <f t="shared" si="75"/>
        <v>1</v>
      </c>
      <c r="Q220" s="394">
        <f>SUM($P$4:P220)/COUNT($P$4:P220)</f>
        <v>0.52073732718894006</v>
      </c>
      <c r="W220" s="396">
        <f t="shared" si="76"/>
        <v>0</v>
      </c>
      <c r="X220" s="394" t="e">
        <f>SUM($W$4:W220)/COUNT($W$4:W220)</f>
        <v>#DIV/0!</v>
      </c>
      <c r="Z220" s="469"/>
    </row>
    <row r="221" spans="1:26" x14ac:dyDescent="0.15">
      <c r="A221" s="384">
        <f t="shared" si="74"/>
        <v>219</v>
      </c>
      <c r="B221" s="401">
        <f t="shared" si="79"/>
        <v>39269</v>
      </c>
      <c r="D221" s="390">
        <v>36360</v>
      </c>
      <c r="E221" s="387">
        <f>D221+SUM(Holdings_Old!$E$32:$E$35)</f>
        <v>36360</v>
      </c>
      <c r="F221" s="387">
        <f t="shared" si="78"/>
        <v>1</v>
      </c>
      <c r="G221" s="388">
        <f t="shared" si="77"/>
        <v>2.7503506697001967E-5</v>
      </c>
      <c r="H221" s="387">
        <f t="shared" si="66"/>
        <v>13504.150000000001</v>
      </c>
      <c r="I221" s="388">
        <f t="shared" si="67"/>
        <v>0.59083998188647557</v>
      </c>
      <c r="L221" s="369">
        <v>1530.43</v>
      </c>
      <c r="M221" s="394">
        <f t="shared" si="80"/>
        <v>1.7126792763813681E-2</v>
      </c>
      <c r="N221" s="394">
        <f t="shared" si="70"/>
        <v>0.64548210906588688</v>
      </c>
      <c r="O221" s="395" t="str">
        <f t="shared" si="71"/>
        <v>No</v>
      </c>
      <c r="P221" s="396">
        <f t="shared" si="75"/>
        <v>0</v>
      </c>
      <c r="Q221" s="394">
        <f>SUM($P$4:P221)/COUNT($P$4:P221)</f>
        <v>0.51834862385321101</v>
      </c>
      <c r="W221" s="396">
        <f t="shared" si="76"/>
        <v>0</v>
      </c>
      <c r="X221" s="394" t="e">
        <f>SUM($W$4:W221)/COUNT($W$4:W221)</f>
        <v>#DIV/0!</v>
      </c>
      <c r="Z221" s="469"/>
    </row>
    <row r="222" spans="1:26" x14ac:dyDescent="0.15">
      <c r="A222" s="384">
        <f t="shared" si="74"/>
        <v>220</v>
      </c>
      <c r="B222" s="401">
        <f t="shared" si="79"/>
        <v>39276</v>
      </c>
      <c r="D222" s="390">
        <v>36361</v>
      </c>
      <c r="E222" s="387">
        <f>D222+SUM(Holdings_Old!$E$32:$E$35)</f>
        <v>36361</v>
      </c>
      <c r="F222" s="387">
        <f t="shared" si="78"/>
        <v>1</v>
      </c>
      <c r="G222" s="388">
        <f t="shared" si="77"/>
        <v>2.7502750274965848E-5</v>
      </c>
      <c r="H222" s="387">
        <f t="shared" si="66"/>
        <v>13505.150000000001</v>
      </c>
      <c r="I222" s="388">
        <f t="shared" si="67"/>
        <v>0.59088373436122499</v>
      </c>
      <c r="L222" s="369">
        <v>1552.5</v>
      </c>
      <c r="M222" s="394">
        <f t="shared" si="80"/>
        <v>1.4420783701312612E-2</v>
      </c>
      <c r="N222" s="394">
        <f t="shared" si="70"/>
        <v>0.66921125064510578</v>
      </c>
      <c r="O222" s="395" t="str">
        <f t="shared" si="71"/>
        <v>No</v>
      </c>
      <c r="P222" s="396">
        <f t="shared" si="75"/>
        <v>0</v>
      </c>
      <c r="Q222" s="394">
        <f>SUM($P$4:P222)/COUNT($P$4:P222)</f>
        <v>0.51598173515981738</v>
      </c>
      <c r="W222" s="396">
        <f t="shared" si="76"/>
        <v>0</v>
      </c>
      <c r="X222" s="394" t="e">
        <f>SUM($W$4:W222)/COUNT($W$4:W222)</f>
        <v>#DIV/0!</v>
      </c>
      <c r="Z222" s="469"/>
    </row>
    <row r="223" spans="1:26" x14ac:dyDescent="0.15">
      <c r="A223" s="384">
        <f t="shared" si="74"/>
        <v>221</v>
      </c>
      <c r="B223" s="401">
        <f t="shared" si="79"/>
        <v>39283</v>
      </c>
      <c r="D223" s="390">
        <v>36362</v>
      </c>
      <c r="E223" s="387">
        <f>D223+SUM(Holdings_Old!$E$32:$E$35)</f>
        <v>36362</v>
      </c>
      <c r="F223" s="387">
        <f t="shared" si="78"/>
        <v>1</v>
      </c>
      <c r="G223" s="388">
        <f t="shared" si="77"/>
        <v>2.750199389445207E-5</v>
      </c>
      <c r="H223" s="387">
        <f t="shared" si="66"/>
        <v>13506.150000000001</v>
      </c>
      <c r="I223" s="388">
        <f t="shared" si="67"/>
        <v>0.59092748683597418</v>
      </c>
      <c r="L223" s="369">
        <v>1534.06</v>
      </c>
      <c r="M223" s="394">
        <f t="shared" si="80"/>
        <v>-1.1877616747182018E-2</v>
      </c>
      <c r="N223" s="394">
        <f t="shared" si="70"/>
        <v>0.64938499913985881</v>
      </c>
      <c r="O223" s="395" t="str">
        <f t="shared" si="71"/>
        <v>Yes</v>
      </c>
      <c r="P223" s="396">
        <f t="shared" si="75"/>
        <v>1</v>
      </c>
      <c r="Q223" s="394">
        <f>SUM($P$4:P223)/COUNT($P$4:P223)</f>
        <v>0.51818181818181819</v>
      </c>
      <c r="W223" s="396">
        <f t="shared" si="76"/>
        <v>0</v>
      </c>
      <c r="X223" s="394" t="e">
        <f>SUM($W$4:W223)/COUNT($W$4:W223)</f>
        <v>#DIV/0!</v>
      </c>
      <c r="Z223" s="469"/>
    </row>
    <row r="224" spans="1:26" x14ac:dyDescent="0.15">
      <c r="A224" s="384">
        <f t="shared" si="74"/>
        <v>222</v>
      </c>
      <c r="B224" s="401">
        <f t="shared" si="79"/>
        <v>39290</v>
      </c>
      <c r="D224" s="390">
        <v>36576</v>
      </c>
      <c r="E224" s="387">
        <f>D224+SUM(Holdings_Old!$E$32:$E$35)</f>
        <v>36576</v>
      </c>
      <c r="F224" s="387">
        <f t="shared" si="78"/>
        <v>214</v>
      </c>
      <c r="G224" s="388">
        <f t="shared" si="77"/>
        <v>5.8852648369176475E-3</v>
      </c>
      <c r="H224" s="387">
        <f t="shared" si="66"/>
        <v>13720.150000000001</v>
      </c>
      <c r="I224" s="388">
        <f t="shared" si="67"/>
        <v>0.60029051643233577</v>
      </c>
      <c r="L224" s="369">
        <v>1458.93</v>
      </c>
      <c r="M224" s="394">
        <f t="shared" si="80"/>
        <v>-4.8974616377455815E-2</v>
      </c>
      <c r="N224" s="394">
        <f t="shared" si="70"/>
        <v>0.56860700154825383</v>
      </c>
      <c r="O224" s="395" t="str">
        <f t="shared" si="71"/>
        <v>Yes</v>
      </c>
      <c r="P224" s="396">
        <f t="shared" si="75"/>
        <v>1</v>
      </c>
      <c r="Q224" s="394">
        <f>SUM($P$4:P224)/COUNT($P$4:P224)</f>
        <v>0.52036199095022628</v>
      </c>
      <c r="W224" s="396">
        <f t="shared" si="76"/>
        <v>0</v>
      </c>
      <c r="X224" s="394" t="e">
        <f>SUM($W$4:W224)/COUNT($W$4:W224)</f>
        <v>#DIV/0!</v>
      </c>
      <c r="Z224" s="469"/>
    </row>
    <row r="225" spans="1:26" x14ac:dyDescent="0.15">
      <c r="A225" s="384">
        <f t="shared" si="74"/>
        <v>223</v>
      </c>
      <c r="B225" s="401">
        <f t="shared" si="79"/>
        <v>39297</v>
      </c>
      <c r="D225" s="390">
        <v>36577</v>
      </c>
      <c r="E225" s="387">
        <f>D225+SUM(Holdings_Old!$E$32:$E$35)</f>
        <v>36577</v>
      </c>
      <c r="F225" s="387">
        <f t="shared" si="78"/>
        <v>1</v>
      </c>
      <c r="G225" s="388">
        <f t="shared" si="77"/>
        <v>2.7340332458436478E-5</v>
      </c>
      <c r="H225" s="387">
        <f t="shared" si="66"/>
        <v>13721.150000000001</v>
      </c>
      <c r="I225" s="388">
        <f t="shared" si="67"/>
        <v>0.60033426890708519</v>
      </c>
      <c r="L225" s="369">
        <v>1433.04</v>
      </c>
      <c r="M225" s="394">
        <f t="shared" si="80"/>
        <v>-1.7745882256174128E-2</v>
      </c>
      <c r="N225" s="394">
        <f t="shared" si="70"/>
        <v>0.54077068639256831</v>
      </c>
      <c r="O225" s="395" t="str">
        <f t="shared" si="71"/>
        <v>Yes</v>
      </c>
      <c r="P225" s="396">
        <f t="shared" si="75"/>
        <v>1</v>
      </c>
      <c r="Q225" s="394">
        <f>SUM($P$4:P225)/COUNT($P$4:P225)</f>
        <v>0.52252252252252251</v>
      </c>
      <c r="W225" s="396">
        <f t="shared" si="76"/>
        <v>0</v>
      </c>
      <c r="X225" s="394" t="e">
        <f>SUM($W$4:W225)/COUNT($W$4:W225)</f>
        <v>#DIV/0!</v>
      </c>
      <c r="Z225" s="469"/>
    </row>
    <row r="226" spans="1:26" x14ac:dyDescent="0.15">
      <c r="A226" s="384">
        <f t="shared" si="74"/>
        <v>224</v>
      </c>
      <c r="B226" s="401">
        <f t="shared" si="79"/>
        <v>39304</v>
      </c>
      <c r="D226" s="390">
        <v>36578</v>
      </c>
      <c r="E226" s="387">
        <f>D226+SUM(Holdings_Old!$E$32:$E$35)</f>
        <v>36578</v>
      </c>
      <c r="F226" s="387">
        <f t="shared" si="78"/>
        <v>1</v>
      </c>
      <c r="G226" s="388">
        <f t="shared" si="77"/>
        <v>2.7339584985019982E-5</v>
      </c>
      <c r="H226" s="387">
        <f t="shared" si="66"/>
        <v>13722.150000000001</v>
      </c>
      <c r="I226" s="388">
        <f t="shared" si="67"/>
        <v>0.6003780213818346</v>
      </c>
      <c r="L226" s="369">
        <v>1453.42</v>
      </c>
      <c r="M226" s="394">
        <f t="shared" si="80"/>
        <v>1.422151510076497E-2</v>
      </c>
      <c r="N226" s="394">
        <f t="shared" si="70"/>
        <v>0.56268277997591598</v>
      </c>
      <c r="O226" s="395" t="str">
        <f t="shared" si="71"/>
        <v>No</v>
      </c>
      <c r="P226" s="396">
        <f t="shared" si="75"/>
        <v>0</v>
      </c>
      <c r="Q226" s="394">
        <f>SUM($P$4:P226)/COUNT($P$4:P226)</f>
        <v>0.52017937219730936</v>
      </c>
      <c r="W226" s="396">
        <f t="shared" si="76"/>
        <v>0</v>
      </c>
      <c r="X226" s="394" t="e">
        <f>SUM($W$4:W226)/COUNT($W$4:W226)</f>
        <v>#DIV/0!</v>
      </c>
      <c r="Z226" s="469"/>
    </row>
    <row r="227" spans="1:26" x14ac:dyDescent="0.15">
      <c r="A227" s="384">
        <f t="shared" si="74"/>
        <v>225</v>
      </c>
      <c r="B227" s="401">
        <f t="shared" si="79"/>
        <v>39311</v>
      </c>
      <c r="D227" s="390">
        <v>36579</v>
      </c>
      <c r="E227" s="387">
        <f>D227+SUM(Holdings_Old!$E$32:$E$35)</f>
        <v>36579</v>
      </c>
      <c r="F227" s="387">
        <f t="shared" si="78"/>
        <v>1</v>
      </c>
      <c r="G227" s="388">
        <f t="shared" si="77"/>
        <v>2.7338837552681738E-5</v>
      </c>
      <c r="H227" s="387">
        <f t="shared" si="66"/>
        <v>13723.150000000001</v>
      </c>
      <c r="I227" s="388">
        <f t="shared" si="67"/>
        <v>0.6004217738565838</v>
      </c>
      <c r="L227" s="369">
        <v>1445.94</v>
      </c>
      <c r="M227" s="394">
        <f t="shared" si="80"/>
        <v>-5.1464820905176012E-3</v>
      </c>
      <c r="N227" s="394">
        <f t="shared" si="70"/>
        <v>0.55464046103560993</v>
      </c>
      <c r="O227" s="395" t="str">
        <f t="shared" si="71"/>
        <v>Yes</v>
      </c>
      <c r="P227" s="396">
        <f t="shared" si="75"/>
        <v>1</v>
      </c>
      <c r="Q227" s="394">
        <f>SUM($P$4:P227)/COUNT($P$4:P227)</f>
        <v>0.5223214285714286</v>
      </c>
      <c r="W227" s="396">
        <f t="shared" si="76"/>
        <v>0</v>
      </c>
      <c r="X227" s="394" t="e">
        <f>SUM($W$4:W227)/COUNT($W$4:W227)</f>
        <v>#DIV/0!</v>
      </c>
      <c r="Z227" s="469"/>
    </row>
    <row r="228" spans="1:26" x14ac:dyDescent="0.15">
      <c r="A228" s="384">
        <f t="shared" si="74"/>
        <v>226</v>
      </c>
      <c r="B228" s="401">
        <f t="shared" si="79"/>
        <v>39318</v>
      </c>
      <c r="D228" s="390">
        <v>36580</v>
      </c>
      <c r="E228" s="387">
        <f>D228+SUM(Holdings_Old!$E$32:$E$35)</f>
        <v>36580</v>
      </c>
      <c r="F228" s="387">
        <f t="shared" si="78"/>
        <v>1</v>
      </c>
      <c r="G228" s="388">
        <f t="shared" si="77"/>
        <v>2.7338090160977657E-5</v>
      </c>
      <c r="H228" s="387">
        <f t="shared" si="66"/>
        <v>13724.150000000001</v>
      </c>
      <c r="I228" s="388">
        <f t="shared" si="67"/>
        <v>0.60046552633133321</v>
      </c>
      <c r="L228" s="369">
        <v>1479.36</v>
      </c>
      <c r="M228" s="394">
        <f t="shared" si="80"/>
        <v>2.3112992240341912E-2</v>
      </c>
      <c r="N228" s="394">
        <f t="shared" si="70"/>
        <v>0.59057285394804726</v>
      </c>
      <c r="O228" s="395" t="str">
        <f t="shared" si="71"/>
        <v>No</v>
      </c>
      <c r="P228" s="396">
        <f t="shared" si="75"/>
        <v>0</v>
      </c>
      <c r="Q228" s="394">
        <f>SUM($P$4:P228)/COUNT($P$4:P228)</f>
        <v>0.52</v>
      </c>
      <c r="W228" s="396">
        <f t="shared" si="76"/>
        <v>0</v>
      </c>
      <c r="X228" s="394" t="e">
        <f>SUM($W$4:W228)/COUNT($W$4:W228)</f>
        <v>#DIV/0!</v>
      </c>
      <c r="Z228" s="469"/>
    </row>
    <row r="229" spans="1:26" x14ac:dyDescent="0.15">
      <c r="A229" s="384">
        <f t="shared" si="74"/>
        <v>227</v>
      </c>
      <c r="B229" s="401">
        <f t="shared" si="79"/>
        <v>39325</v>
      </c>
      <c r="D229" s="390">
        <v>37382</v>
      </c>
      <c r="E229" s="387">
        <f>D229+SUM(Holdings_Old!$E$32:$E$35)</f>
        <v>37382</v>
      </c>
      <c r="F229" s="387">
        <f t="shared" si="78"/>
        <v>802</v>
      </c>
      <c r="G229" s="388">
        <f t="shared" si="77"/>
        <v>2.1924548933843546E-2</v>
      </c>
      <c r="H229" s="387">
        <f t="shared" si="66"/>
        <v>14526.150000000001</v>
      </c>
      <c r="I229" s="388">
        <f t="shared" si="67"/>
        <v>0.63555501108031431</v>
      </c>
      <c r="L229" s="369">
        <v>1473.96</v>
      </c>
      <c r="M229" s="394">
        <f t="shared" si="80"/>
        <v>-3.6502271252432106E-3</v>
      </c>
      <c r="N229" s="394">
        <f t="shared" si="70"/>
        <v>0.58476690177189061</v>
      </c>
      <c r="O229" s="395" t="str">
        <f t="shared" si="71"/>
        <v>Yes</v>
      </c>
      <c r="P229" s="396">
        <f t="shared" si="75"/>
        <v>1</v>
      </c>
      <c r="Q229" s="394">
        <f>SUM($P$4:P229)/COUNT($P$4:P229)</f>
        <v>0.52212389380530977</v>
      </c>
      <c r="W229" s="396">
        <f t="shared" si="76"/>
        <v>0</v>
      </c>
      <c r="X229" s="394" t="e">
        <f>SUM($W$4:W229)/COUNT($W$4:W229)</f>
        <v>#DIV/0!</v>
      </c>
      <c r="Z229" s="469"/>
    </row>
    <row r="230" spans="1:26" x14ac:dyDescent="0.15">
      <c r="A230" s="384">
        <f t="shared" si="74"/>
        <v>228</v>
      </c>
      <c r="B230" s="401">
        <f t="shared" si="79"/>
        <v>39332</v>
      </c>
      <c r="D230" s="390">
        <v>37383</v>
      </c>
      <c r="E230" s="387">
        <f>D230+SUM(Holdings_Old!$E$32:$E$35)</f>
        <v>37383</v>
      </c>
      <c r="F230" s="387">
        <f t="shared" si="78"/>
        <v>1</v>
      </c>
      <c r="G230" s="388">
        <f t="shared" si="77"/>
        <v>2.6750842651468432E-5</v>
      </c>
      <c r="H230" s="387">
        <f t="shared" si="66"/>
        <v>14527.150000000001</v>
      </c>
      <c r="I230" s="388">
        <f t="shared" si="67"/>
        <v>0.63559876355506373</v>
      </c>
      <c r="L230" s="369">
        <v>1453.5</v>
      </c>
      <c r="M230" s="394">
        <f t="shared" si="80"/>
        <v>-1.3880973703492616E-2</v>
      </c>
      <c r="N230" s="394">
        <f t="shared" si="70"/>
        <v>0.56276879408222946</v>
      </c>
      <c r="O230" s="395" t="str">
        <f t="shared" si="71"/>
        <v>Yes</v>
      </c>
      <c r="P230" s="396">
        <f t="shared" si="75"/>
        <v>1</v>
      </c>
      <c r="Q230" s="394">
        <f>SUM($P$4:P230)/COUNT($P$4:P230)</f>
        <v>0.52422907488986781</v>
      </c>
      <c r="W230" s="396">
        <f t="shared" si="76"/>
        <v>0</v>
      </c>
      <c r="X230" s="394" t="e">
        <f>SUM($W$4:W230)/COUNT($W$4:W230)</f>
        <v>#DIV/0!</v>
      </c>
      <c r="Z230" s="469"/>
    </row>
    <row r="231" spans="1:26" x14ac:dyDescent="0.15">
      <c r="A231" s="384">
        <f t="shared" si="74"/>
        <v>229</v>
      </c>
      <c r="B231" s="401">
        <f t="shared" si="79"/>
        <v>39339</v>
      </c>
      <c r="D231" s="390">
        <v>37384</v>
      </c>
      <c r="E231" s="387">
        <f>D231+SUM(Holdings_Old!$E$32:$E$35)</f>
        <v>37384</v>
      </c>
      <c r="F231" s="387">
        <f t="shared" si="78"/>
        <v>1</v>
      </c>
      <c r="G231" s="388">
        <f t="shared" si="77"/>
        <v>2.6750127063213114E-5</v>
      </c>
      <c r="H231" s="387">
        <f t="shared" si="66"/>
        <v>14528.150000000001</v>
      </c>
      <c r="I231" s="388">
        <f t="shared" si="67"/>
        <v>0.63564251602981314</v>
      </c>
      <c r="L231" s="369">
        <v>1484.24</v>
      </c>
      <c r="M231" s="394">
        <f t="shared" si="80"/>
        <v>2.1148950808393518E-2</v>
      </c>
      <c r="N231" s="394">
        <f t="shared" si="70"/>
        <v>0.59581971443316695</v>
      </c>
      <c r="O231" s="395" t="str">
        <f t="shared" si="71"/>
        <v>No</v>
      </c>
      <c r="P231" s="396">
        <f t="shared" si="75"/>
        <v>0</v>
      </c>
      <c r="Q231" s="394">
        <f>SUM($P$4:P231)/COUNT($P$4:P231)</f>
        <v>0.52192982456140347</v>
      </c>
      <c r="W231" s="396">
        <f t="shared" si="76"/>
        <v>0</v>
      </c>
      <c r="X231" s="394" t="e">
        <f>SUM($W$4:W231)/COUNT($W$4:W231)</f>
        <v>#DIV/0!</v>
      </c>
      <c r="Z231" s="469"/>
    </row>
    <row r="232" spans="1:26" x14ac:dyDescent="0.15">
      <c r="A232" s="384">
        <f t="shared" si="74"/>
        <v>230</v>
      </c>
      <c r="B232" s="401">
        <f t="shared" si="79"/>
        <v>39346</v>
      </c>
      <c r="D232" s="390">
        <v>37385</v>
      </c>
      <c r="E232" s="387">
        <f>D232+SUM(Holdings_Old!$E$32:$E$35)</f>
        <v>37385</v>
      </c>
      <c r="F232" s="387">
        <f t="shared" si="78"/>
        <v>1</v>
      </c>
      <c r="G232" s="388">
        <f t="shared" si="77"/>
        <v>2.6749411512927423E-5</v>
      </c>
      <c r="H232" s="387">
        <f t="shared" si="66"/>
        <v>14529.150000000001</v>
      </c>
      <c r="I232" s="388">
        <f t="shared" si="67"/>
        <v>0.63568626850456234</v>
      </c>
      <c r="L232" s="369">
        <v>1525.75</v>
      </c>
      <c r="M232" s="394">
        <f t="shared" si="80"/>
        <v>2.7967175119926635E-2</v>
      </c>
      <c r="N232" s="394">
        <f t="shared" si="70"/>
        <v>0.64045028384655067</v>
      </c>
      <c r="O232" s="395" t="str">
        <f t="shared" si="71"/>
        <v>No</v>
      </c>
      <c r="P232" s="396">
        <f t="shared" si="75"/>
        <v>0</v>
      </c>
      <c r="Q232" s="394">
        <f>SUM($P$4:P232)/COUNT($P$4:P232)</f>
        <v>0.51965065502183405</v>
      </c>
      <c r="W232" s="396">
        <f t="shared" si="76"/>
        <v>0</v>
      </c>
      <c r="X232" s="394" t="e">
        <f>SUM($W$4:W232)/COUNT($W$4:W232)</f>
        <v>#DIV/0!</v>
      </c>
      <c r="Z232" s="469"/>
    </row>
    <row r="233" spans="1:26" x14ac:dyDescent="0.15">
      <c r="A233" s="384">
        <f t="shared" si="74"/>
        <v>231</v>
      </c>
      <c r="B233" s="401">
        <f t="shared" si="79"/>
        <v>39353</v>
      </c>
      <c r="D233" s="390">
        <v>39566</v>
      </c>
      <c r="E233" s="387">
        <f>D233+SUM(Holdings_Old!$E$32:$E$35)</f>
        <v>39566</v>
      </c>
      <c r="F233" s="387">
        <f t="shared" si="78"/>
        <v>2181</v>
      </c>
      <c r="G233" s="388">
        <f t="shared" si="77"/>
        <v>5.8338905978333466E-2</v>
      </c>
      <c r="H233" s="387">
        <f t="shared" ref="H233:H296" si="81">E233-$D$3</f>
        <v>16710.150000000001</v>
      </c>
      <c r="I233" s="388">
        <f t="shared" ref="I233:I296" si="82">(E233/$D$3)-1</f>
        <v>0.73111041593290138</v>
      </c>
      <c r="L233" s="369">
        <v>1527.29</v>
      </c>
      <c r="M233" s="394">
        <f t="shared" si="80"/>
        <v>1.0093396690151746E-3</v>
      </c>
      <c r="N233" s="394">
        <f t="shared" si="70"/>
        <v>0.64210605539308441</v>
      </c>
      <c r="O233" s="395" t="str">
        <f t="shared" si="71"/>
        <v>Yes</v>
      </c>
      <c r="P233" s="396">
        <f t="shared" si="75"/>
        <v>1</v>
      </c>
      <c r="Q233" s="394">
        <f>SUM($P$4:P233)/COUNT($P$4:P233)</f>
        <v>0.52173913043478259</v>
      </c>
      <c r="W233" s="396">
        <f t="shared" si="76"/>
        <v>0</v>
      </c>
      <c r="X233" s="394" t="e">
        <f>SUM($W$4:W233)/COUNT($W$4:W233)</f>
        <v>#DIV/0!</v>
      </c>
      <c r="Z233" s="469"/>
    </row>
    <row r="234" spans="1:26" x14ac:dyDescent="0.15">
      <c r="A234" s="384">
        <f t="shared" si="74"/>
        <v>232</v>
      </c>
      <c r="B234" s="401">
        <f t="shared" si="79"/>
        <v>39360</v>
      </c>
      <c r="D234" s="390">
        <v>39567</v>
      </c>
      <c r="E234" s="387">
        <f>D234+SUM(Holdings_Old!$E$32:$E$35)</f>
        <v>39567</v>
      </c>
      <c r="F234" s="387">
        <f t="shared" ref="F234:F237" si="83">E234-E233</f>
        <v>1</v>
      </c>
      <c r="G234" s="388">
        <f t="shared" si="77"/>
        <v>2.527422534503998E-5</v>
      </c>
      <c r="H234" s="387">
        <f t="shared" si="81"/>
        <v>16711.150000000001</v>
      </c>
      <c r="I234" s="388">
        <f t="shared" si="82"/>
        <v>0.73115416840765057</v>
      </c>
      <c r="L234" s="369">
        <v>1556.51</v>
      </c>
      <c r="M234" s="394">
        <f t="shared" si="80"/>
        <v>1.913192648416473E-2</v>
      </c>
      <c r="N234" s="394">
        <f t="shared" si="70"/>
        <v>0.67352270772406664</v>
      </c>
      <c r="O234" s="395" t="str">
        <f t="shared" si="71"/>
        <v>No</v>
      </c>
      <c r="P234" s="396">
        <f t="shared" si="75"/>
        <v>0</v>
      </c>
      <c r="Q234" s="394">
        <f>SUM($P$4:P234)/COUNT($P$4:P234)</f>
        <v>0.51948051948051943</v>
      </c>
      <c r="W234" s="396">
        <f t="shared" si="76"/>
        <v>0</v>
      </c>
      <c r="X234" s="394" t="e">
        <f>SUM($W$4:W234)/COUNT($W$4:W234)</f>
        <v>#DIV/0!</v>
      </c>
      <c r="Z234" s="469"/>
    </row>
    <row r="235" spans="1:26" x14ac:dyDescent="0.15">
      <c r="A235" s="384">
        <f t="shared" si="74"/>
        <v>233</v>
      </c>
      <c r="B235" s="401">
        <f t="shared" si="79"/>
        <v>39367</v>
      </c>
      <c r="D235" s="390">
        <v>39568</v>
      </c>
      <c r="E235" s="387">
        <f>D235+SUM(Holdings_Old!$E$32:$E$35)</f>
        <v>39568</v>
      </c>
      <c r="F235" s="387">
        <f t="shared" si="83"/>
        <v>1</v>
      </c>
      <c r="G235" s="388">
        <f t="shared" si="77"/>
        <v>2.5273586574670048E-5</v>
      </c>
      <c r="H235" s="387">
        <f t="shared" si="81"/>
        <v>16712.150000000001</v>
      </c>
      <c r="I235" s="388">
        <f t="shared" si="82"/>
        <v>0.73119792088239999</v>
      </c>
      <c r="L235" s="369">
        <v>1562.25</v>
      </c>
      <c r="M235" s="394">
        <f t="shared" si="80"/>
        <v>3.6877373097505828E-3</v>
      </c>
      <c r="N235" s="394">
        <f t="shared" si="70"/>
        <v>0.67969421985205569</v>
      </c>
      <c r="O235" s="395" t="str">
        <f t="shared" si="71"/>
        <v>No</v>
      </c>
      <c r="P235" s="396">
        <f t="shared" si="75"/>
        <v>0</v>
      </c>
      <c r="Q235" s="394">
        <f>SUM($P$4:P235)/COUNT($P$4:P235)</f>
        <v>0.51724137931034486</v>
      </c>
      <c r="W235" s="396">
        <f t="shared" si="76"/>
        <v>0</v>
      </c>
      <c r="X235" s="394" t="e">
        <f>SUM($W$4:W235)/COUNT($W$4:W235)</f>
        <v>#DIV/0!</v>
      </c>
      <c r="Z235" s="469"/>
    </row>
    <row r="236" spans="1:26" x14ac:dyDescent="0.15">
      <c r="A236" s="384">
        <f t="shared" si="74"/>
        <v>234</v>
      </c>
      <c r="B236" s="401">
        <f t="shared" si="79"/>
        <v>39374</v>
      </c>
      <c r="D236" s="390">
        <f>40456-1000</f>
        <v>39456</v>
      </c>
      <c r="E236" s="387">
        <f>D236+SUM(Holdings_Old!$E$32:$E$35)</f>
        <v>39456</v>
      </c>
      <c r="F236" s="387">
        <f t="shared" si="83"/>
        <v>-112</v>
      </c>
      <c r="G236" s="388">
        <f t="shared" si="77"/>
        <v>-2.8305701577031606E-3</v>
      </c>
      <c r="H236" s="387">
        <f t="shared" si="81"/>
        <v>16600.150000000001</v>
      </c>
      <c r="I236" s="388">
        <f t="shared" si="82"/>
        <v>0.72629764371047245</v>
      </c>
      <c r="L236" s="369">
        <v>1497.79</v>
      </c>
      <c r="M236" s="394">
        <f t="shared" si="80"/>
        <v>-4.126100176028169E-2</v>
      </c>
      <c r="N236" s="394">
        <f t="shared" si="70"/>
        <v>0.61038835369000499</v>
      </c>
      <c r="O236" s="395" t="str">
        <f t="shared" si="71"/>
        <v>Yes</v>
      </c>
      <c r="P236" s="396">
        <f t="shared" si="75"/>
        <v>1</v>
      </c>
      <c r="Q236" s="394">
        <f>SUM($P$4:P236)/COUNT($P$4:P236)</f>
        <v>0.51931330472102999</v>
      </c>
      <c r="W236" s="396">
        <f t="shared" si="76"/>
        <v>0</v>
      </c>
      <c r="X236" s="394" t="e">
        <f>SUM($W$4:W236)/COUNT($W$4:W236)</f>
        <v>#DIV/0!</v>
      </c>
      <c r="Z236" s="469"/>
    </row>
    <row r="237" spans="1:26" x14ac:dyDescent="0.15">
      <c r="A237" s="384">
        <f t="shared" si="74"/>
        <v>235</v>
      </c>
      <c r="B237" s="401">
        <f t="shared" si="79"/>
        <v>39381</v>
      </c>
      <c r="D237" s="390">
        <f>40456-1000</f>
        <v>39456</v>
      </c>
      <c r="E237" s="387">
        <f>D237+SUM(Holdings_Old!$E$32:$E$35)</f>
        <v>39456</v>
      </c>
      <c r="F237" s="387">
        <f t="shared" si="83"/>
        <v>0</v>
      </c>
      <c r="G237" s="388">
        <f t="shared" si="77"/>
        <v>0</v>
      </c>
      <c r="H237" s="387">
        <f t="shared" si="81"/>
        <v>16600.150000000001</v>
      </c>
      <c r="I237" s="388">
        <f t="shared" si="82"/>
        <v>0.72629764371047245</v>
      </c>
      <c r="L237" s="369">
        <v>1536.92</v>
      </c>
      <c r="M237" s="394">
        <f t="shared" si="80"/>
        <v>2.6125157732392434E-2</v>
      </c>
      <c r="N237" s="394">
        <f t="shared" si="70"/>
        <v>0.65246000344056432</v>
      </c>
      <c r="O237" s="395" t="str">
        <f t="shared" si="71"/>
        <v>No</v>
      </c>
      <c r="P237" s="396">
        <f t="shared" si="75"/>
        <v>0</v>
      </c>
      <c r="Q237" s="394">
        <f>SUM($P$4:P237)/COUNT($P$4:P237)</f>
        <v>0.51709401709401714</v>
      </c>
      <c r="W237" s="396">
        <f t="shared" si="76"/>
        <v>0</v>
      </c>
      <c r="X237" s="394" t="e">
        <f>SUM($W$4:W237)/COUNT($W$4:W237)</f>
        <v>#DIV/0!</v>
      </c>
      <c r="Z237" s="469"/>
    </row>
    <row r="238" spans="1:26" x14ac:dyDescent="0.15">
      <c r="A238" s="384">
        <f t="shared" si="74"/>
        <v>236</v>
      </c>
      <c r="B238" s="401">
        <f>B237+7</f>
        <v>39388</v>
      </c>
      <c r="D238" s="390">
        <v>39000</v>
      </c>
      <c r="E238" s="387">
        <f>D238</f>
        <v>39000</v>
      </c>
      <c r="F238" s="387">
        <f>E238-E236</f>
        <v>-456</v>
      </c>
      <c r="G238" s="388">
        <f>(E238/E236)-1</f>
        <v>-1.1557177615571734E-2</v>
      </c>
      <c r="H238" s="387">
        <f t="shared" si="81"/>
        <v>16144.150000000001</v>
      </c>
      <c r="I238" s="388">
        <f t="shared" si="82"/>
        <v>0.70634651522476744</v>
      </c>
      <c r="L238" s="369">
        <v>1505.61</v>
      </c>
      <c r="M238" s="394">
        <f t="shared" si="80"/>
        <v>-2.0371912656481861E-2</v>
      </c>
      <c r="N238" s="394">
        <f t="shared" si="70"/>
        <v>0.61879623258214322</v>
      </c>
      <c r="O238" s="395" t="str">
        <f t="shared" si="71"/>
        <v>Yes</v>
      </c>
      <c r="P238" s="396">
        <f t="shared" si="75"/>
        <v>1</v>
      </c>
      <c r="Q238" s="394">
        <f>SUM($P$4:P238)/COUNT($P$4:P238)</f>
        <v>0.51914893617021274</v>
      </c>
      <c r="W238" s="396">
        <f t="shared" si="76"/>
        <v>0</v>
      </c>
      <c r="X238" s="394" t="e">
        <f>SUM($W$4:W238)/COUNT($W$4:W238)</f>
        <v>#DIV/0!</v>
      </c>
      <c r="Z238" s="469"/>
    </row>
    <row r="239" spans="1:26" x14ac:dyDescent="0.15">
      <c r="A239" s="384">
        <f t="shared" si="74"/>
        <v>237</v>
      </c>
      <c r="B239" s="401">
        <v>39405</v>
      </c>
      <c r="D239" s="390">
        <v>38500</v>
      </c>
      <c r="E239" s="387">
        <f>D239</f>
        <v>38500</v>
      </c>
      <c r="F239" s="387">
        <f t="shared" ref="F239:F302" si="84">E239-E238</f>
        <v>-500</v>
      </c>
      <c r="G239" s="388">
        <f t="shared" ref="G239:G302" si="85">(E239/E238)-1</f>
        <v>-1.2820512820512775E-2</v>
      </c>
      <c r="H239" s="387">
        <f t="shared" si="81"/>
        <v>15644.150000000001</v>
      </c>
      <c r="I239" s="388">
        <f t="shared" si="82"/>
        <v>0.68447027785009107</v>
      </c>
      <c r="L239" s="369">
        <v>1433.27</v>
      </c>
      <c r="M239" s="394">
        <f t="shared" si="80"/>
        <v>-4.8046970995144767E-2</v>
      </c>
      <c r="N239" s="394">
        <f t="shared" si="70"/>
        <v>0.54101797694821951</v>
      </c>
      <c r="O239" s="395" t="str">
        <f t="shared" si="71"/>
        <v>Yes</v>
      </c>
      <c r="P239" s="396">
        <f t="shared" si="75"/>
        <v>1</v>
      </c>
      <c r="Q239" s="394">
        <f>SUM($P$4:P239)/COUNT($P$4:P239)</f>
        <v>0.52118644067796616</v>
      </c>
      <c r="W239" s="396">
        <f t="shared" si="76"/>
        <v>0</v>
      </c>
      <c r="X239" s="394" t="e">
        <f>SUM($W$4:W239)/COUNT($W$4:W239)</f>
        <v>#DIV/0!</v>
      </c>
      <c r="Z239" s="469"/>
    </row>
    <row r="240" spans="1:26" x14ac:dyDescent="0.15">
      <c r="A240" s="384">
        <f t="shared" si="74"/>
        <v>238</v>
      </c>
      <c r="B240" s="401">
        <v>39417</v>
      </c>
      <c r="D240" s="390">
        <f>38514-1000</f>
        <v>37514</v>
      </c>
      <c r="E240" s="387">
        <f>D240</f>
        <v>37514</v>
      </c>
      <c r="F240" s="387">
        <f t="shared" si="84"/>
        <v>-986</v>
      </c>
      <c r="G240" s="388">
        <f t="shared" si="85"/>
        <v>-2.5610389610389639E-2</v>
      </c>
      <c r="H240" s="387">
        <f t="shared" si="81"/>
        <v>14658.150000000001</v>
      </c>
      <c r="I240" s="388">
        <f t="shared" si="82"/>
        <v>0.64133033774722903</v>
      </c>
      <c r="L240" s="369">
        <v>1481.14</v>
      </c>
      <c r="M240" s="394">
        <f t="shared" si="80"/>
        <v>3.3399150195008609E-2</v>
      </c>
      <c r="N240" s="394">
        <f t="shared" si="70"/>
        <v>0.59248666781352144</v>
      </c>
      <c r="O240" s="395" t="str">
        <f t="shared" si="71"/>
        <v>No</v>
      </c>
      <c r="P240" s="396">
        <f t="shared" si="75"/>
        <v>0</v>
      </c>
      <c r="Q240" s="394">
        <f>SUM($P$4:P240)/COUNT($P$4:P240)</f>
        <v>0.51898734177215189</v>
      </c>
      <c r="W240" s="396">
        <f t="shared" si="76"/>
        <v>0</v>
      </c>
      <c r="X240" s="394" t="e">
        <f>SUM($W$4:W240)/COUNT($W$4:W240)</f>
        <v>#DIV/0!</v>
      </c>
      <c r="Z240" s="469"/>
    </row>
    <row r="241" spans="1:26" x14ac:dyDescent="0.15">
      <c r="A241" s="384">
        <f t="shared" si="74"/>
        <v>239</v>
      </c>
      <c r="B241" s="401">
        <v>39438</v>
      </c>
      <c r="D241" s="390">
        <f>38126.52-1000</f>
        <v>37126.519999999997</v>
      </c>
      <c r="E241" s="387">
        <f>D241</f>
        <v>37126.519999999997</v>
      </c>
      <c r="F241" s="387">
        <f t="shared" si="84"/>
        <v>-387.4800000000032</v>
      </c>
      <c r="G241" s="388">
        <f t="shared" si="85"/>
        <v>-1.0328943860958617E-2</v>
      </c>
      <c r="H241" s="387">
        <f t="shared" si="81"/>
        <v>14270.669999999998</v>
      </c>
      <c r="I241" s="388">
        <f t="shared" si="82"/>
        <v>0.62437712883134955</v>
      </c>
      <c r="L241" s="369">
        <v>1484.46</v>
      </c>
      <c r="M241" s="394">
        <f t="shared" si="80"/>
        <v>2.2415166695923805E-3</v>
      </c>
      <c r="N241" s="394">
        <f t="shared" si="70"/>
        <v>0.59605625322552891</v>
      </c>
      <c r="O241" s="395" t="str">
        <f t="shared" si="71"/>
        <v>No</v>
      </c>
      <c r="P241" s="396">
        <f t="shared" si="75"/>
        <v>0</v>
      </c>
      <c r="Q241" s="394">
        <f>SUM($P$4:P241)/COUNT($P$4:P241)</f>
        <v>0.51680672268907568</v>
      </c>
      <c r="W241" s="396">
        <f t="shared" si="76"/>
        <v>0</v>
      </c>
      <c r="X241" s="394" t="e">
        <f>SUM($W$4:W241)/COUNT($W$4:W241)</f>
        <v>#DIV/0!</v>
      </c>
      <c r="Z241" s="469"/>
    </row>
    <row r="242" spans="1:26" x14ac:dyDescent="0.15">
      <c r="A242" s="384">
        <f t="shared" si="74"/>
        <v>240</v>
      </c>
      <c r="B242" s="401">
        <v>39452</v>
      </c>
      <c r="D242" s="390">
        <f>39985-1000</f>
        <v>38985</v>
      </c>
      <c r="E242" s="387">
        <f>39985-1000</f>
        <v>38985</v>
      </c>
      <c r="F242" s="387">
        <f t="shared" si="84"/>
        <v>1858.4800000000032</v>
      </c>
      <c r="G242" s="388">
        <f t="shared" si="85"/>
        <v>5.0058017826610346E-2</v>
      </c>
      <c r="H242" s="387">
        <f t="shared" si="81"/>
        <v>16129.150000000001</v>
      </c>
      <c r="I242" s="388">
        <f t="shared" si="82"/>
        <v>0.70569022810352711</v>
      </c>
      <c r="L242" s="369">
        <v>1411.63</v>
      </c>
      <c r="M242" s="394">
        <f t="shared" si="80"/>
        <v>-4.9061611629818147E-2</v>
      </c>
      <c r="N242" s="394">
        <f t="shared" si="70"/>
        <v>0.51775116119043529</v>
      </c>
      <c r="O242" s="395" t="str">
        <f t="shared" si="71"/>
        <v>Yes</v>
      </c>
      <c r="P242" s="396">
        <f t="shared" si="75"/>
        <v>1</v>
      </c>
      <c r="Q242" s="394">
        <f>SUM($P$4:P242)/COUNT($P$4:P242)</f>
        <v>0.51882845188284521</v>
      </c>
      <c r="W242" s="396">
        <f t="shared" si="76"/>
        <v>0</v>
      </c>
      <c r="X242" s="394" t="e">
        <f>SUM($W$4:W242)/COUNT($W$4:W242)</f>
        <v>#DIV/0!</v>
      </c>
      <c r="Z242" s="469"/>
    </row>
    <row r="243" spans="1:26" x14ac:dyDescent="0.15">
      <c r="A243" s="384">
        <f t="shared" si="74"/>
        <v>241</v>
      </c>
      <c r="B243" s="401">
        <f>B242+7</f>
        <v>39459</v>
      </c>
      <c r="D243" s="390">
        <f>37905-1000</f>
        <v>36905</v>
      </c>
      <c r="E243" s="387">
        <f>37905-1000</f>
        <v>36905</v>
      </c>
      <c r="F243" s="387">
        <f t="shared" si="84"/>
        <v>-2080</v>
      </c>
      <c r="G243" s="388">
        <f t="shared" si="85"/>
        <v>-5.3353854046428117E-2</v>
      </c>
      <c r="H243" s="387">
        <f t="shared" si="81"/>
        <v>14049.150000000001</v>
      </c>
      <c r="I243" s="388">
        <f t="shared" si="82"/>
        <v>0.61468508062487293</v>
      </c>
      <c r="L243" s="369">
        <v>1401.02</v>
      </c>
      <c r="M243" s="394">
        <f t="shared" si="80"/>
        <v>-7.5161338311031667E-3</v>
      </c>
      <c r="N243" s="394">
        <f t="shared" si="70"/>
        <v>0.50634354034061579</v>
      </c>
      <c r="O243" s="395" t="str">
        <f t="shared" si="71"/>
        <v>No</v>
      </c>
      <c r="P243" s="396">
        <f t="shared" si="75"/>
        <v>0</v>
      </c>
      <c r="Q243" s="394">
        <f>SUM($P$4:P243)/COUNT($P$4:P243)</f>
        <v>0.51666666666666672</v>
      </c>
      <c r="W243" s="396">
        <f t="shared" si="76"/>
        <v>0</v>
      </c>
      <c r="X243" s="394" t="e">
        <f>SUM($W$4:W243)/COUNT($W$4:W243)</f>
        <v>#DIV/0!</v>
      </c>
      <c r="Z243" s="469"/>
    </row>
    <row r="244" spans="1:26" x14ac:dyDescent="0.15">
      <c r="A244" s="384">
        <f t="shared" si="74"/>
        <v>242</v>
      </c>
      <c r="B244" s="401">
        <f>B243+7</f>
        <v>39466</v>
      </c>
      <c r="D244" s="390">
        <f>35854-1000</f>
        <v>34854</v>
      </c>
      <c r="E244" s="387">
        <f>35854-1000</f>
        <v>34854</v>
      </c>
      <c r="F244" s="387">
        <f t="shared" si="84"/>
        <v>-2051</v>
      </c>
      <c r="G244" s="388">
        <f t="shared" si="85"/>
        <v>-5.5575125321772112E-2</v>
      </c>
      <c r="H244" s="387">
        <f t="shared" si="81"/>
        <v>11998.150000000001</v>
      </c>
      <c r="I244" s="388">
        <f t="shared" si="82"/>
        <v>0.52494875491394999</v>
      </c>
      <c r="L244" s="369">
        <v>1333</v>
      </c>
      <c r="M244" s="394">
        <f t="shared" si="80"/>
        <v>-4.855034189376306E-2</v>
      </c>
      <c r="N244" s="394">
        <f t="shared" si="70"/>
        <v>0.4332100464476174</v>
      </c>
      <c r="O244" s="395" t="str">
        <f t="shared" si="71"/>
        <v>No</v>
      </c>
      <c r="P244" s="396">
        <f t="shared" si="75"/>
        <v>0</v>
      </c>
      <c r="Q244" s="394">
        <f>SUM($P$4:P244)/COUNT($P$4:P244)</f>
        <v>0.51452282157676343</v>
      </c>
      <c r="W244" s="396">
        <f t="shared" si="76"/>
        <v>0</v>
      </c>
      <c r="X244" s="394" t="e">
        <f>SUM($W$4:W244)/COUNT($W$4:W244)</f>
        <v>#DIV/0!</v>
      </c>
      <c r="Z244" s="469"/>
    </row>
    <row r="245" spans="1:26" x14ac:dyDescent="0.15">
      <c r="A245" s="384">
        <f t="shared" si="74"/>
        <v>243</v>
      </c>
      <c r="B245" s="401">
        <v>39480</v>
      </c>
      <c r="D245" s="390">
        <v>37182</v>
      </c>
      <c r="E245" s="387">
        <v>37182</v>
      </c>
      <c r="F245" s="387">
        <f t="shared" si="84"/>
        <v>2328</v>
      </c>
      <c r="G245" s="388">
        <f t="shared" si="85"/>
        <v>6.6792907557238657E-2</v>
      </c>
      <c r="H245" s="387">
        <f t="shared" si="81"/>
        <v>14326.150000000001</v>
      </c>
      <c r="I245" s="388">
        <f t="shared" si="82"/>
        <v>0.62680451613044363</v>
      </c>
      <c r="L245" s="369">
        <v>1395.42</v>
      </c>
      <c r="M245" s="394">
        <f t="shared" si="80"/>
        <v>4.6826706676669216E-2</v>
      </c>
      <c r="N245" s="394">
        <f t="shared" si="70"/>
        <v>0.50032255289867544</v>
      </c>
      <c r="O245" s="395" t="str">
        <f t="shared" si="71"/>
        <v>Yes</v>
      </c>
      <c r="P245" s="396">
        <f t="shared" si="75"/>
        <v>1</v>
      </c>
      <c r="Q245" s="394">
        <f>SUM($P$4:P245)/COUNT($P$4:P245)</f>
        <v>0.51652892561983466</v>
      </c>
      <c r="W245" s="396">
        <f t="shared" si="76"/>
        <v>0</v>
      </c>
      <c r="X245" s="394" t="e">
        <f>SUM($W$4:W245)/COUNT($W$4:W245)</f>
        <v>#DIV/0!</v>
      </c>
      <c r="Z245" s="469"/>
    </row>
    <row r="246" spans="1:26" x14ac:dyDescent="0.15">
      <c r="A246" s="384">
        <f t="shared" si="74"/>
        <v>244</v>
      </c>
      <c r="B246" s="401">
        <f t="shared" si="79"/>
        <v>39487</v>
      </c>
      <c r="D246" s="390">
        <v>35617</v>
      </c>
      <c r="E246" s="387">
        <v>35617</v>
      </c>
      <c r="F246" s="387">
        <f t="shared" si="84"/>
        <v>-1565</v>
      </c>
      <c r="G246" s="388">
        <f t="shared" si="85"/>
        <v>-4.2090258727341179E-2</v>
      </c>
      <c r="H246" s="387">
        <f t="shared" si="81"/>
        <v>12761.150000000001</v>
      </c>
      <c r="I246" s="388">
        <f t="shared" si="82"/>
        <v>0.55833189314770637</v>
      </c>
      <c r="L246" s="369">
        <v>1331</v>
      </c>
      <c r="M246" s="394">
        <f t="shared" si="80"/>
        <v>-4.6165312235742717E-2</v>
      </c>
      <c r="N246" s="394">
        <f t="shared" si="70"/>
        <v>0.43105969378978148</v>
      </c>
      <c r="O246" s="395" t="str">
        <f t="shared" si="71"/>
        <v>Yes</v>
      </c>
      <c r="P246" s="396">
        <f t="shared" si="75"/>
        <v>1</v>
      </c>
      <c r="Q246" s="394">
        <f>SUM($P$4:P246)/COUNT($P$4:P246)</f>
        <v>0.51851851851851849</v>
      </c>
      <c r="W246" s="396">
        <f t="shared" si="76"/>
        <v>0</v>
      </c>
      <c r="X246" s="394" t="e">
        <f>SUM($W$4:W246)/COUNT($W$4:W246)</f>
        <v>#DIV/0!</v>
      </c>
      <c r="Z246" s="469"/>
    </row>
    <row r="247" spans="1:26" x14ac:dyDescent="0.15">
      <c r="A247" s="384">
        <f t="shared" si="74"/>
        <v>245</v>
      </c>
      <c r="B247" s="401">
        <v>39496</v>
      </c>
      <c r="D247" s="390">
        <v>36144</v>
      </c>
      <c r="E247" s="387">
        <v>36144</v>
      </c>
      <c r="F247" s="387">
        <f t="shared" si="84"/>
        <v>527</v>
      </c>
      <c r="G247" s="388">
        <f t="shared" si="85"/>
        <v>1.4796305135188259E-2</v>
      </c>
      <c r="H247" s="387">
        <f t="shared" si="81"/>
        <v>13288.150000000001</v>
      </c>
      <c r="I247" s="388">
        <f t="shared" si="82"/>
        <v>0.58138944734061537</v>
      </c>
      <c r="L247" s="369">
        <v>1350</v>
      </c>
      <c r="M247" s="394">
        <f t="shared" si="80"/>
        <v>1.427498121712989E-2</v>
      </c>
      <c r="N247" s="394">
        <f t="shared" si="70"/>
        <v>0.45148804403922238</v>
      </c>
      <c r="O247" s="395" t="str">
        <f t="shared" si="71"/>
        <v>Yes</v>
      </c>
      <c r="P247" s="396">
        <f t="shared" si="75"/>
        <v>1</v>
      </c>
      <c r="Q247" s="394">
        <f>SUM($P$4:P247)/COUNT($P$4:P247)</f>
        <v>0.52049180327868849</v>
      </c>
      <c r="W247" s="396">
        <f t="shared" si="76"/>
        <v>0</v>
      </c>
      <c r="X247" s="394" t="e">
        <f>SUM($W$4:W247)/COUNT($W$4:W247)</f>
        <v>#DIV/0!</v>
      </c>
      <c r="Z247" s="469"/>
    </row>
    <row r="248" spans="1:26" x14ac:dyDescent="0.15">
      <c r="A248" s="384">
        <f t="shared" si="74"/>
        <v>246</v>
      </c>
      <c r="B248" s="401">
        <f t="shared" si="79"/>
        <v>39503</v>
      </c>
      <c r="D248" s="390">
        <v>36808</v>
      </c>
      <c r="E248" s="387">
        <v>36808</v>
      </c>
      <c r="F248" s="387">
        <f t="shared" si="84"/>
        <v>664</v>
      </c>
      <c r="G248" s="388">
        <f t="shared" si="85"/>
        <v>1.8370960602036357E-2</v>
      </c>
      <c r="H248" s="387">
        <f t="shared" si="81"/>
        <v>13952.150000000001</v>
      </c>
      <c r="I248" s="388">
        <f t="shared" si="82"/>
        <v>0.61044109057418572</v>
      </c>
      <c r="L248" s="369">
        <v>1372</v>
      </c>
      <c r="M248" s="394">
        <f t="shared" si="80"/>
        <v>1.6296296296296253E-2</v>
      </c>
      <c r="N248" s="394">
        <f t="shared" si="70"/>
        <v>0.47514192327541704</v>
      </c>
      <c r="O248" s="395" t="str">
        <f t="shared" si="71"/>
        <v>Yes</v>
      </c>
      <c r="P248" s="396">
        <f t="shared" si="75"/>
        <v>1</v>
      </c>
      <c r="Q248" s="394">
        <f>SUM($P$4:P248)/COUNT($P$4:P248)</f>
        <v>0.52244897959183678</v>
      </c>
      <c r="W248" s="396">
        <f t="shared" si="76"/>
        <v>0</v>
      </c>
      <c r="X248" s="394" t="e">
        <f>SUM($W$4:W248)/COUNT($W$4:W248)</f>
        <v>#DIV/0!</v>
      </c>
      <c r="Z248" s="469"/>
    </row>
    <row r="249" spans="1:26" x14ac:dyDescent="0.15">
      <c r="A249" s="384">
        <f t="shared" si="74"/>
        <v>247</v>
      </c>
      <c r="B249" s="401">
        <f t="shared" si="79"/>
        <v>39510</v>
      </c>
      <c r="D249" s="390">
        <v>34347</v>
      </c>
      <c r="E249" s="387">
        <v>34347</v>
      </c>
      <c r="F249" s="387">
        <f t="shared" si="84"/>
        <v>-2461</v>
      </c>
      <c r="G249" s="388">
        <f t="shared" si="85"/>
        <v>-6.6860465116279078E-2</v>
      </c>
      <c r="H249" s="387">
        <f t="shared" si="81"/>
        <v>11491.150000000001</v>
      </c>
      <c r="I249" s="388">
        <f t="shared" si="82"/>
        <v>0.50276625021602794</v>
      </c>
      <c r="L249" s="369">
        <v>1273</v>
      </c>
      <c r="M249" s="394">
        <f t="shared" si="80"/>
        <v>-7.2157434402332354E-2</v>
      </c>
      <c r="N249" s="394">
        <f t="shared" si="70"/>
        <v>0.36869946671254072</v>
      </c>
      <c r="O249" s="395" t="str">
        <f t="shared" si="71"/>
        <v>Yes</v>
      </c>
      <c r="P249" s="396">
        <f t="shared" si="75"/>
        <v>1</v>
      </c>
      <c r="Q249" s="394">
        <f>SUM($P$4:P249)/COUNT($P$4:P249)</f>
        <v>0.52439024390243905</v>
      </c>
      <c r="W249" s="396">
        <f t="shared" si="76"/>
        <v>0</v>
      </c>
      <c r="X249" s="394" t="e">
        <f>SUM($W$4:W249)/COUNT($W$4:W249)</f>
        <v>#DIV/0!</v>
      </c>
      <c r="Z249" s="469"/>
    </row>
    <row r="250" spans="1:26" x14ac:dyDescent="0.15">
      <c r="A250" s="384">
        <f t="shared" si="74"/>
        <v>248</v>
      </c>
      <c r="B250" s="401">
        <f t="shared" si="79"/>
        <v>39517</v>
      </c>
      <c r="D250" s="390">
        <v>34818</v>
      </c>
      <c r="E250" s="387">
        <v>34818</v>
      </c>
      <c r="F250" s="387">
        <f t="shared" si="84"/>
        <v>471</v>
      </c>
      <c r="G250" s="388">
        <f t="shared" si="85"/>
        <v>1.3712988033889317E-2</v>
      </c>
      <c r="H250" s="387">
        <f t="shared" si="81"/>
        <v>11962.150000000001</v>
      </c>
      <c r="I250" s="388">
        <f t="shared" si="82"/>
        <v>0.52337366582297329</v>
      </c>
      <c r="L250" s="369">
        <v>1277</v>
      </c>
      <c r="M250" s="394">
        <f t="shared" si="80"/>
        <v>3.1421838177534411E-3</v>
      </c>
      <c r="N250" s="394">
        <f t="shared" si="70"/>
        <v>0.37300017202821256</v>
      </c>
      <c r="O250" s="395" t="str">
        <f t="shared" si="71"/>
        <v>Yes</v>
      </c>
      <c r="P250" s="396">
        <f t="shared" si="75"/>
        <v>1</v>
      </c>
      <c r="Q250" s="394">
        <f>SUM($P$4:P250)/COUNT($P$4:P250)</f>
        <v>0.52631578947368418</v>
      </c>
      <c r="W250" s="396">
        <f t="shared" si="76"/>
        <v>0</v>
      </c>
      <c r="X250" s="394" t="e">
        <f>SUM($W$4:W250)/COUNT($W$4:W250)</f>
        <v>#DIV/0!</v>
      </c>
      <c r="Z250" s="469"/>
    </row>
    <row r="251" spans="1:26" x14ac:dyDescent="0.15">
      <c r="A251" s="384">
        <f t="shared" si="74"/>
        <v>249</v>
      </c>
      <c r="B251" s="401">
        <v>39531</v>
      </c>
      <c r="D251" s="390">
        <v>36465</v>
      </c>
      <c r="E251" s="387">
        <v>36465</v>
      </c>
      <c r="F251" s="387">
        <f t="shared" si="84"/>
        <v>1647</v>
      </c>
      <c r="G251" s="388">
        <f t="shared" si="85"/>
        <v>4.7303119076339772E-2</v>
      </c>
      <c r="H251" s="387">
        <f t="shared" si="81"/>
        <v>13609.150000000001</v>
      </c>
      <c r="I251" s="388">
        <f t="shared" si="82"/>
        <v>0.59543399173515765</v>
      </c>
      <c r="L251" s="369">
        <v>1350</v>
      </c>
      <c r="M251" s="394">
        <f t="shared" si="80"/>
        <v>5.7165231010180007E-2</v>
      </c>
      <c r="N251" s="394">
        <f t="shared" si="70"/>
        <v>0.45148804403922238</v>
      </c>
      <c r="O251" s="395" t="str">
        <f t="shared" si="71"/>
        <v>No</v>
      </c>
      <c r="P251" s="396">
        <f t="shared" si="75"/>
        <v>0</v>
      </c>
      <c r="Q251" s="394">
        <f>SUM($P$4:P251)/COUNT($P$4:P251)</f>
        <v>0.52419354838709675</v>
      </c>
      <c r="W251" s="396">
        <f t="shared" si="76"/>
        <v>0</v>
      </c>
      <c r="X251" s="394" t="e">
        <f>SUM($W$4:W251)/COUNT($W$4:W251)</f>
        <v>#DIV/0!</v>
      </c>
      <c r="Z251" s="469"/>
    </row>
    <row r="252" spans="1:26" x14ac:dyDescent="0.15">
      <c r="A252" s="384">
        <f t="shared" si="74"/>
        <v>250</v>
      </c>
      <c r="B252" s="401">
        <f t="shared" si="79"/>
        <v>39538</v>
      </c>
      <c r="D252" s="390">
        <v>35855</v>
      </c>
      <c r="E252" s="387">
        <v>35855</v>
      </c>
      <c r="F252" s="387">
        <f t="shared" si="84"/>
        <v>-610</v>
      </c>
      <c r="G252" s="388">
        <f t="shared" si="85"/>
        <v>-1.6728369669546161E-2</v>
      </c>
      <c r="H252" s="387">
        <f t="shared" si="81"/>
        <v>12999.150000000001</v>
      </c>
      <c r="I252" s="388">
        <f t="shared" si="82"/>
        <v>0.56874498213805236</v>
      </c>
      <c r="L252" s="369">
        <v>1323</v>
      </c>
      <c r="M252" s="394">
        <f t="shared" si="80"/>
        <v>-2.0000000000000018E-2</v>
      </c>
      <c r="N252" s="394">
        <f t="shared" si="70"/>
        <v>0.42245828315843803</v>
      </c>
      <c r="O252" s="395" t="str">
        <f t="shared" si="71"/>
        <v>Yes</v>
      </c>
      <c r="P252" s="396">
        <f t="shared" si="75"/>
        <v>1</v>
      </c>
      <c r="Q252" s="394">
        <f>SUM($P$4:P252)/COUNT($P$4:P252)</f>
        <v>0.52610441767068272</v>
      </c>
      <c r="W252" s="396">
        <f t="shared" si="76"/>
        <v>0</v>
      </c>
      <c r="X252" s="394" t="e">
        <f>SUM($W$4:W252)/COUNT($W$4:W252)</f>
        <v>#DIV/0!</v>
      </c>
      <c r="Z252" s="469"/>
    </row>
    <row r="253" spans="1:26" x14ac:dyDescent="0.15">
      <c r="A253" s="384">
        <f t="shared" si="74"/>
        <v>251</v>
      </c>
      <c r="B253" s="401">
        <v>39549</v>
      </c>
      <c r="D253" s="390">
        <v>36287</v>
      </c>
      <c r="E253" s="387">
        <v>36287</v>
      </c>
      <c r="F253" s="387">
        <f t="shared" si="84"/>
        <v>432</v>
      </c>
      <c r="G253" s="388">
        <f t="shared" si="85"/>
        <v>1.2048528796541724E-2</v>
      </c>
      <c r="H253" s="387">
        <f t="shared" si="81"/>
        <v>13431.150000000001</v>
      </c>
      <c r="I253" s="388">
        <f t="shared" si="82"/>
        <v>0.58764605122977276</v>
      </c>
      <c r="L253" s="369">
        <v>1333</v>
      </c>
      <c r="M253" s="394">
        <f t="shared" si="80"/>
        <v>7.5585789871503994E-3</v>
      </c>
      <c r="N253" s="394">
        <f t="shared" si="70"/>
        <v>0.4332100464476174</v>
      </c>
      <c r="O253" s="395" t="str">
        <f t="shared" si="71"/>
        <v>Yes</v>
      </c>
      <c r="P253" s="396">
        <f t="shared" si="75"/>
        <v>1</v>
      </c>
      <c r="Q253" s="394">
        <f>SUM($P$4:P253)/COUNT($P$4:P253)</f>
        <v>0.52800000000000002</v>
      </c>
      <c r="W253" s="396">
        <f t="shared" si="76"/>
        <v>0</v>
      </c>
      <c r="X253" s="394" t="e">
        <f>SUM($W$4:W253)/COUNT($W$4:W253)</f>
        <v>#DIV/0!</v>
      </c>
      <c r="Z253" s="469"/>
    </row>
    <row r="254" spans="1:26" x14ac:dyDescent="0.15">
      <c r="A254" s="384">
        <f t="shared" si="74"/>
        <v>252</v>
      </c>
      <c r="B254" s="401">
        <f t="shared" si="79"/>
        <v>39556</v>
      </c>
      <c r="D254" s="390">
        <v>37282</v>
      </c>
      <c r="E254" s="387">
        <v>37282</v>
      </c>
      <c r="F254" s="387">
        <f t="shared" si="84"/>
        <v>995</v>
      </c>
      <c r="G254" s="388">
        <f t="shared" si="85"/>
        <v>2.7420288257502756E-2</v>
      </c>
      <c r="H254" s="387">
        <f t="shared" si="81"/>
        <v>14426.150000000001</v>
      </c>
      <c r="I254" s="388">
        <f t="shared" si="82"/>
        <v>0.63117976360537908</v>
      </c>
      <c r="L254" s="369">
        <v>1390</v>
      </c>
      <c r="M254" s="394">
        <f t="shared" si="80"/>
        <v>4.2760690172543026E-2</v>
      </c>
      <c r="N254" s="394">
        <f t="shared" si="70"/>
        <v>0.49449509719594009</v>
      </c>
      <c r="O254" s="395" t="str">
        <f t="shared" si="71"/>
        <v>No</v>
      </c>
      <c r="P254" s="396">
        <f t="shared" si="75"/>
        <v>0</v>
      </c>
      <c r="Q254" s="394">
        <f>SUM($P$4:P254)/COUNT($P$4:P254)</f>
        <v>0.52589641434262946</v>
      </c>
      <c r="W254" s="396">
        <f t="shared" si="76"/>
        <v>0</v>
      </c>
      <c r="X254" s="394" t="e">
        <f>SUM($W$4:W254)/COUNT($W$4:W254)</f>
        <v>#DIV/0!</v>
      </c>
      <c r="Z254" s="469"/>
    </row>
    <row r="255" spans="1:26" x14ac:dyDescent="0.15">
      <c r="A255" s="384">
        <f t="shared" si="74"/>
        <v>253</v>
      </c>
      <c r="B255" s="401">
        <v>39571</v>
      </c>
      <c r="D255" s="390">
        <v>38672</v>
      </c>
      <c r="E255" s="387">
        <v>38672</v>
      </c>
      <c r="F255" s="387">
        <f t="shared" si="84"/>
        <v>1390</v>
      </c>
      <c r="G255" s="388">
        <f t="shared" si="85"/>
        <v>3.7283407542513913E-2</v>
      </c>
      <c r="H255" s="387">
        <f t="shared" si="81"/>
        <v>15816.150000000001</v>
      </c>
      <c r="I255" s="388">
        <f t="shared" si="82"/>
        <v>0.6919957035069797</v>
      </c>
      <c r="L255" s="369">
        <v>1414</v>
      </c>
      <c r="M255" s="394">
        <f t="shared" si="80"/>
        <v>1.7266187050359649E-2</v>
      </c>
      <c r="N255" s="394">
        <f t="shared" si="70"/>
        <v>0.52029932908997067</v>
      </c>
      <c r="O255" s="395" t="str">
        <f t="shared" si="71"/>
        <v>Yes</v>
      </c>
      <c r="P255" s="396">
        <f t="shared" si="75"/>
        <v>1</v>
      </c>
      <c r="Q255" s="394">
        <f>SUM($P$4:P255)/COUNT($P$4:P255)</f>
        <v>0.52777777777777779</v>
      </c>
      <c r="W255" s="396">
        <f t="shared" si="76"/>
        <v>0</v>
      </c>
      <c r="X255" s="394" t="e">
        <f>SUM($W$4:W255)/COUNT($W$4:W255)</f>
        <v>#DIV/0!</v>
      </c>
      <c r="Z255" s="469"/>
    </row>
    <row r="256" spans="1:26" x14ac:dyDescent="0.15">
      <c r="A256" s="384">
        <f t="shared" si="74"/>
        <v>254</v>
      </c>
      <c r="B256" s="401">
        <v>39585</v>
      </c>
      <c r="D256" s="390">
        <v>38529</v>
      </c>
      <c r="E256" s="387">
        <v>38529</v>
      </c>
      <c r="F256" s="387">
        <f t="shared" si="84"/>
        <v>-143</v>
      </c>
      <c r="G256" s="388">
        <f t="shared" si="85"/>
        <v>-3.6977658254033763E-3</v>
      </c>
      <c r="H256" s="387">
        <f t="shared" si="81"/>
        <v>15673.150000000001</v>
      </c>
      <c r="I256" s="388">
        <f t="shared" si="82"/>
        <v>0.68573909961782231</v>
      </c>
      <c r="L256" s="369">
        <v>1425</v>
      </c>
      <c r="M256" s="394">
        <f t="shared" si="80"/>
        <v>7.7793493635078814E-3</v>
      </c>
      <c r="N256" s="394">
        <f t="shared" si="70"/>
        <v>0.53212626870806812</v>
      </c>
      <c r="O256" s="395" t="str">
        <f t="shared" si="71"/>
        <v>No</v>
      </c>
      <c r="P256" s="396">
        <f t="shared" si="75"/>
        <v>0</v>
      </c>
      <c r="Q256" s="394">
        <f>SUM($P$4:P256)/COUNT($P$4:P256)</f>
        <v>0.52569169960474305</v>
      </c>
      <c r="W256" s="396">
        <f t="shared" si="76"/>
        <v>0</v>
      </c>
      <c r="X256" s="394" t="e">
        <f>SUM($W$4:W256)/COUNT($W$4:W256)</f>
        <v>#DIV/0!</v>
      </c>
      <c r="Z256" s="469"/>
    </row>
    <row r="257" spans="1:26" x14ac:dyDescent="0.15">
      <c r="A257" s="384">
        <f t="shared" si="74"/>
        <v>255</v>
      </c>
      <c r="B257" s="401">
        <f t="shared" si="79"/>
        <v>39592</v>
      </c>
      <c r="D257" s="390">
        <v>37819</v>
      </c>
      <c r="E257" s="387">
        <v>37819</v>
      </c>
      <c r="F257" s="387">
        <f t="shared" si="84"/>
        <v>-710</v>
      </c>
      <c r="G257" s="388">
        <f t="shared" si="85"/>
        <v>-1.8427677853045776E-2</v>
      </c>
      <c r="H257" s="387">
        <f t="shared" si="81"/>
        <v>14963.150000000001</v>
      </c>
      <c r="I257" s="388">
        <f t="shared" si="82"/>
        <v>0.65467484254578157</v>
      </c>
      <c r="L257" s="369">
        <v>1376</v>
      </c>
      <c r="M257" s="394">
        <f t="shared" si="80"/>
        <v>-3.4385964912280742E-2</v>
      </c>
      <c r="N257" s="394">
        <f t="shared" si="70"/>
        <v>0.47944262859108888</v>
      </c>
      <c r="O257" s="395" t="str">
        <f t="shared" si="71"/>
        <v>Yes</v>
      </c>
      <c r="P257" s="396">
        <f t="shared" si="75"/>
        <v>1</v>
      </c>
      <c r="Q257" s="394">
        <f>SUM($P$4:P257)/COUNT($P$4:P257)</f>
        <v>0.52755905511811019</v>
      </c>
      <c r="W257" s="396">
        <f t="shared" si="76"/>
        <v>0</v>
      </c>
      <c r="X257" s="394" t="e">
        <f>SUM($W$4:W257)/COUNT($W$4:W257)</f>
        <v>#DIV/0!</v>
      </c>
      <c r="Z257" s="469"/>
    </row>
    <row r="258" spans="1:26" x14ac:dyDescent="0.15">
      <c r="A258" s="384">
        <f t="shared" si="74"/>
        <v>256</v>
      </c>
      <c r="B258" s="401">
        <f t="shared" si="79"/>
        <v>39599</v>
      </c>
      <c r="D258" s="390">
        <v>38670</v>
      </c>
      <c r="E258" s="387">
        <v>38670</v>
      </c>
      <c r="F258" s="387">
        <f t="shared" si="84"/>
        <v>851</v>
      </c>
      <c r="G258" s="388">
        <f t="shared" si="85"/>
        <v>2.2501917025833595E-2</v>
      </c>
      <c r="H258" s="387">
        <f t="shared" si="81"/>
        <v>15814.150000000001</v>
      </c>
      <c r="I258" s="388">
        <f t="shared" si="82"/>
        <v>0.69190819855748109</v>
      </c>
      <c r="L258" s="369">
        <v>1400</v>
      </c>
      <c r="M258" s="394">
        <f t="shared" si="80"/>
        <v>1.744186046511631E-2</v>
      </c>
      <c r="N258" s="394">
        <f t="shared" si="70"/>
        <v>0.50524686048511946</v>
      </c>
      <c r="O258" s="395" t="str">
        <f t="shared" si="71"/>
        <v>Yes</v>
      </c>
      <c r="P258" s="396">
        <f t="shared" si="75"/>
        <v>1</v>
      </c>
      <c r="Q258" s="394">
        <f>SUM($P$4:P258)/COUNT($P$4:P258)</f>
        <v>0.52941176470588236</v>
      </c>
      <c r="W258" s="396">
        <f t="shared" si="76"/>
        <v>0</v>
      </c>
      <c r="X258" s="394" t="e">
        <f>SUM($W$4:W258)/COUNT($W$4:W258)</f>
        <v>#DIV/0!</v>
      </c>
      <c r="Z258" s="469"/>
    </row>
    <row r="259" spans="1:26" x14ac:dyDescent="0.15">
      <c r="A259" s="384">
        <f t="shared" si="74"/>
        <v>257</v>
      </c>
      <c r="B259" s="401">
        <f t="shared" si="79"/>
        <v>39606</v>
      </c>
      <c r="D259" s="390">
        <v>37675</v>
      </c>
      <c r="E259" s="387">
        <v>37675</v>
      </c>
      <c r="F259" s="387">
        <f t="shared" si="84"/>
        <v>-995</v>
      </c>
      <c r="G259" s="388">
        <f t="shared" si="85"/>
        <v>-2.5730540470649044E-2</v>
      </c>
      <c r="H259" s="387">
        <f t="shared" si="81"/>
        <v>14819.150000000001</v>
      </c>
      <c r="I259" s="388">
        <f t="shared" si="82"/>
        <v>0.64837448618187477</v>
      </c>
      <c r="L259" s="369">
        <v>1360</v>
      </c>
      <c r="M259" s="394">
        <f t="shared" si="80"/>
        <v>-2.8571428571428581E-2</v>
      </c>
      <c r="N259" s="394">
        <f t="shared" si="70"/>
        <v>0.46223980732840175</v>
      </c>
      <c r="O259" s="395" t="str">
        <f t="shared" si="71"/>
        <v>Yes</v>
      </c>
      <c r="P259" s="396">
        <f t="shared" si="75"/>
        <v>1</v>
      </c>
      <c r="Q259" s="394">
        <f>SUM($P$4:P259)/COUNT($P$4:P259)</f>
        <v>0.53125</v>
      </c>
      <c r="W259" s="396">
        <f t="shared" si="76"/>
        <v>0</v>
      </c>
      <c r="X259" s="394" t="e">
        <f>SUM($W$4:W259)/COUNT($W$4:W259)</f>
        <v>#DIV/0!</v>
      </c>
      <c r="Z259" s="469"/>
    </row>
    <row r="260" spans="1:26" x14ac:dyDescent="0.15">
      <c r="A260" s="384">
        <f t="shared" si="74"/>
        <v>258</v>
      </c>
      <c r="B260" s="401">
        <v>39620</v>
      </c>
      <c r="D260" s="390">
        <v>36796</v>
      </c>
      <c r="E260" s="387">
        <v>36796</v>
      </c>
      <c r="F260" s="387">
        <f t="shared" si="84"/>
        <v>-879</v>
      </c>
      <c r="G260" s="388">
        <f t="shared" si="85"/>
        <v>-2.3331121433311175E-2</v>
      </c>
      <c r="H260" s="387">
        <f t="shared" si="81"/>
        <v>13940.150000000001</v>
      </c>
      <c r="I260" s="388">
        <f t="shared" si="82"/>
        <v>0.60991606087719341</v>
      </c>
      <c r="L260" s="369">
        <v>1318</v>
      </c>
      <c r="M260" s="394">
        <f t="shared" si="80"/>
        <v>-3.0882352941176472E-2</v>
      </c>
      <c r="N260" s="394">
        <f t="shared" ref="N260:N323" si="86">(L260/$L$3)-1</f>
        <v>0.41708240151384812</v>
      </c>
      <c r="O260" s="395" t="str">
        <f t="shared" ref="O260:O323" si="87">IF(G260&gt;M260,"Yes","No")</f>
        <v>Yes</v>
      </c>
      <c r="P260" s="396">
        <f t="shared" si="75"/>
        <v>1</v>
      </c>
      <c r="Q260" s="394">
        <f>SUM($P$4:P260)/COUNT($P$4:P260)</f>
        <v>0.53307392996108949</v>
      </c>
      <c r="W260" s="396">
        <f t="shared" si="76"/>
        <v>0</v>
      </c>
      <c r="X260" s="394" t="e">
        <f>SUM($W$4:W260)/COUNT($W$4:W260)</f>
        <v>#DIV/0!</v>
      </c>
      <c r="Z260" s="469"/>
    </row>
    <row r="261" spans="1:26" x14ac:dyDescent="0.15">
      <c r="A261" s="384">
        <f t="shared" ref="A261:A324" si="88">A260+1</f>
        <v>259</v>
      </c>
      <c r="B261" s="401">
        <v>39639</v>
      </c>
      <c r="D261" s="390">
        <v>35862</v>
      </c>
      <c r="E261" s="387">
        <v>35862</v>
      </c>
      <c r="F261" s="387">
        <f t="shared" si="84"/>
        <v>-934</v>
      </c>
      <c r="G261" s="388">
        <f t="shared" si="85"/>
        <v>-2.5383193825415762E-2</v>
      </c>
      <c r="H261" s="387">
        <f t="shared" si="81"/>
        <v>13006.150000000001</v>
      </c>
      <c r="I261" s="388">
        <f t="shared" si="82"/>
        <v>0.56905124946129781</v>
      </c>
      <c r="L261" s="369">
        <v>1239</v>
      </c>
      <c r="M261" s="394">
        <f t="shared" si="80"/>
        <v>-5.9939301972685932E-2</v>
      </c>
      <c r="N261" s="394">
        <f t="shared" si="86"/>
        <v>0.33214347152933077</v>
      </c>
      <c r="O261" s="395" t="str">
        <f t="shared" si="87"/>
        <v>Yes</v>
      </c>
      <c r="P261" s="396">
        <f t="shared" si="75"/>
        <v>1</v>
      </c>
      <c r="Q261" s="394">
        <f>SUM($P$4:P261)/COUNT($P$4:P261)</f>
        <v>0.53488372093023251</v>
      </c>
      <c r="W261" s="396">
        <f t="shared" si="76"/>
        <v>0</v>
      </c>
      <c r="X261" s="394" t="e">
        <f>SUM($W$4:W261)/COUNT($W$4:W261)</f>
        <v>#DIV/0!</v>
      </c>
      <c r="Z261" s="469"/>
    </row>
    <row r="262" spans="1:26" x14ac:dyDescent="0.15">
      <c r="A262" s="384">
        <f t="shared" si="88"/>
        <v>260</v>
      </c>
      <c r="B262" s="401">
        <f t="shared" si="79"/>
        <v>39646</v>
      </c>
      <c r="D262" s="390">
        <v>36001.449999999997</v>
      </c>
      <c r="E262" s="387">
        <v>36001.449999999997</v>
      </c>
      <c r="F262" s="387">
        <f t="shared" si="84"/>
        <v>139.44999999999709</v>
      </c>
      <c r="G262" s="388">
        <f t="shared" si="85"/>
        <v>3.8885170933020685E-3</v>
      </c>
      <c r="H262" s="387">
        <f t="shared" si="81"/>
        <v>13145.599999999999</v>
      </c>
      <c r="I262" s="388">
        <f t="shared" si="82"/>
        <v>0.57515253206509498</v>
      </c>
      <c r="L262" s="369">
        <v>1260.32</v>
      </c>
      <c r="M262" s="394">
        <f t="shared" si="80"/>
        <v>1.7207425343018556E-2</v>
      </c>
      <c r="N262" s="394">
        <f t="shared" si="86"/>
        <v>0.35506623086186129</v>
      </c>
      <c r="O262" s="395" t="str">
        <f t="shared" si="87"/>
        <v>No</v>
      </c>
      <c r="P262" s="396">
        <f t="shared" ref="P262:P325" si="89">IF(O262="Yes",1,0)</f>
        <v>0</v>
      </c>
      <c r="Q262" s="394">
        <f>SUM($P$4:P262)/COUNT($P$4:P262)</f>
        <v>0.53281853281853286</v>
      </c>
      <c r="W262" s="396">
        <f t="shared" ref="W262:W325" si="90">IF(V262="Yes",1,0)</f>
        <v>0</v>
      </c>
      <c r="X262" s="394" t="e">
        <f>SUM($W$4:W262)/COUNT($W$4:W262)</f>
        <v>#DIV/0!</v>
      </c>
      <c r="Z262" s="469"/>
    </row>
    <row r="263" spans="1:26" x14ac:dyDescent="0.15">
      <c r="A263" s="384">
        <f t="shared" si="88"/>
        <v>261</v>
      </c>
      <c r="B263" s="401">
        <f t="shared" si="79"/>
        <v>39653</v>
      </c>
      <c r="D263" s="390">
        <v>36045.230000000003</v>
      </c>
      <c r="E263" s="387">
        <v>36045.230000000003</v>
      </c>
      <c r="F263" s="387">
        <f t="shared" si="84"/>
        <v>43.780000000006112</v>
      </c>
      <c r="G263" s="388">
        <f t="shared" si="85"/>
        <v>1.2160621308310304E-3</v>
      </c>
      <c r="H263" s="387">
        <f t="shared" si="81"/>
        <v>13189.380000000005</v>
      </c>
      <c r="I263" s="388">
        <f t="shared" si="82"/>
        <v>0.57706801540962194</v>
      </c>
      <c r="L263" s="369">
        <v>1252.54</v>
      </c>
      <c r="M263" s="394">
        <f t="shared" si="80"/>
        <v>-6.1730354195759229E-3</v>
      </c>
      <c r="N263" s="394">
        <f t="shared" si="86"/>
        <v>0.34670135902287957</v>
      </c>
      <c r="O263" s="395" t="str">
        <f t="shared" si="87"/>
        <v>Yes</v>
      </c>
      <c r="P263" s="396">
        <f t="shared" si="89"/>
        <v>1</v>
      </c>
      <c r="Q263" s="394">
        <f>SUM($P$4:P263)/COUNT($P$4:P263)</f>
        <v>0.5346153846153846</v>
      </c>
      <c r="W263" s="396">
        <f t="shared" si="90"/>
        <v>0</v>
      </c>
      <c r="X263" s="394" t="e">
        <f>SUM($W$4:W263)/COUNT($W$4:W263)</f>
        <v>#DIV/0!</v>
      </c>
      <c r="Z263" s="469"/>
    </row>
    <row r="264" spans="1:26" x14ac:dyDescent="0.15">
      <c r="A264" s="384">
        <f t="shared" si="88"/>
        <v>262</v>
      </c>
      <c r="B264" s="401">
        <f t="shared" si="79"/>
        <v>39660</v>
      </c>
      <c r="D264" s="390">
        <v>37261.08</v>
      </c>
      <c r="E264" s="387">
        <v>37261.08</v>
      </c>
      <c r="F264" s="387">
        <f t="shared" si="84"/>
        <v>1215.8499999999985</v>
      </c>
      <c r="G264" s="388">
        <f t="shared" si="85"/>
        <v>3.3731231566562325E-2</v>
      </c>
      <c r="H264" s="387">
        <f t="shared" si="81"/>
        <v>14405.230000000003</v>
      </c>
      <c r="I264" s="388">
        <f t="shared" si="82"/>
        <v>0.63026446183362261</v>
      </c>
      <c r="L264" s="369">
        <v>1267.3800000000001</v>
      </c>
      <c r="M264" s="394">
        <f t="shared" si="80"/>
        <v>1.1847925016366778E-2</v>
      </c>
      <c r="N264" s="394">
        <f t="shared" si="86"/>
        <v>0.36265697574402211</v>
      </c>
      <c r="O264" s="395" t="str">
        <f t="shared" si="87"/>
        <v>Yes</v>
      </c>
      <c r="P264" s="396">
        <f t="shared" si="89"/>
        <v>1</v>
      </c>
      <c r="Q264" s="394">
        <f>SUM($P$4:P264)/COUNT($P$4:P264)</f>
        <v>0.53639846743295017</v>
      </c>
      <c r="W264" s="396">
        <f t="shared" si="90"/>
        <v>0</v>
      </c>
      <c r="X264" s="394" t="e">
        <f>SUM($W$4:W264)/COUNT($W$4:W264)</f>
        <v>#DIV/0!</v>
      </c>
      <c r="Z264" s="469"/>
    </row>
    <row r="265" spans="1:26" x14ac:dyDescent="0.15">
      <c r="A265" s="384">
        <f t="shared" si="88"/>
        <v>263</v>
      </c>
      <c r="B265" s="401">
        <f t="shared" si="79"/>
        <v>39667</v>
      </c>
      <c r="D265" s="390">
        <v>37004.269999999997</v>
      </c>
      <c r="E265" s="387">
        <v>37004.269999999997</v>
      </c>
      <c r="F265" s="387">
        <f t="shared" si="84"/>
        <v>-256.81000000000495</v>
      </c>
      <c r="G265" s="388">
        <f t="shared" si="85"/>
        <v>-6.8921781118530534E-3</v>
      </c>
      <c r="H265" s="387">
        <f t="shared" si="81"/>
        <v>14148.419999999998</v>
      </c>
      <c r="I265" s="388">
        <f t="shared" si="82"/>
        <v>0.61902838879324107</v>
      </c>
      <c r="L265" s="369">
        <v>1266.07</v>
      </c>
      <c r="M265" s="394">
        <f t="shared" si="80"/>
        <v>-1.033628430305189E-3</v>
      </c>
      <c r="N265" s="394">
        <f t="shared" si="86"/>
        <v>0.36124849475313936</v>
      </c>
      <c r="O265" s="395" t="str">
        <f t="shared" si="87"/>
        <v>No</v>
      </c>
      <c r="P265" s="396">
        <f t="shared" si="89"/>
        <v>0</v>
      </c>
      <c r="Q265" s="394">
        <f>SUM($P$4:P265)/COUNT($P$4:P265)</f>
        <v>0.53435114503816794</v>
      </c>
      <c r="W265" s="396">
        <f t="shared" si="90"/>
        <v>0</v>
      </c>
      <c r="X265" s="394" t="e">
        <f>SUM($W$4:W265)/COUNT($W$4:W265)</f>
        <v>#DIV/0!</v>
      </c>
      <c r="Z265" s="469"/>
    </row>
    <row r="266" spans="1:26" x14ac:dyDescent="0.15">
      <c r="A266" s="384">
        <f t="shared" si="88"/>
        <v>264</v>
      </c>
      <c r="B266" s="401">
        <f t="shared" si="79"/>
        <v>39674</v>
      </c>
      <c r="D266" s="390">
        <v>36843.94</v>
      </c>
      <c r="E266" s="387">
        <v>36843.94</v>
      </c>
      <c r="F266" s="387">
        <f t="shared" si="84"/>
        <v>-160.32999999999447</v>
      </c>
      <c r="G266" s="388">
        <f t="shared" si="85"/>
        <v>-4.3327432212550976E-3</v>
      </c>
      <c r="H266" s="387">
        <f t="shared" si="81"/>
        <v>13988.090000000004</v>
      </c>
      <c r="I266" s="388">
        <f t="shared" si="82"/>
        <v>0.6120135545166776</v>
      </c>
      <c r="L266" s="369">
        <v>1292.93</v>
      </c>
      <c r="M266" s="394">
        <f t="shared" si="80"/>
        <v>2.1215256660374271E-2</v>
      </c>
      <c r="N266" s="394">
        <f t="shared" si="86"/>
        <v>0.39012773094787545</v>
      </c>
      <c r="O266" s="395" t="str">
        <f t="shared" si="87"/>
        <v>No</v>
      </c>
      <c r="P266" s="396">
        <f t="shared" si="89"/>
        <v>0</v>
      </c>
      <c r="Q266" s="394">
        <f>SUM($P$4:P266)/COUNT($P$4:P266)</f>
        <v>0.53231939163498099</v>
      </c>
      <c r="W266" s="396">
        <f t="shared" si="90"/>
        <v>0</v>
      </c>
      <c r="X266" s="394" t="e">
        <f>SUM($W$4:W266)/COUNT($W$4:W266)</f>
        <v>#DIV/0!</v>
      </c>
      <c r="Z266" s="469"/>
    </row>
    <row r="267" spans="1:26" x14ac:dyDescent="0.15">
      <c r="A267" s="384">
        <f t="shared" si="88"/>
        <v>265</v>
      </c>
      <c r="B267" s="401">
        <f t="shared" ref="B267:B330" si="91">B266+7</f>
        <v>39681</v>
      </c>
      <c r="D267" s="390">
        <v>36990.07</v>
      </c>
      <c r="E267" s="387">
        <v>36990.07</v>
      </c>
      <c r="F267" s="387">
        <f t="shared" si="84"/>
        <v>146.12999999999738</v>
      </c>
      <c r="G267" s="388">
        <f t="shared" si="85"/>
        <v>3.9661881981134517E-3</v>
      </c>
      <c r="H267" s="387">
        <f t="shared" si="81"/>
        <v>14134.220000000001</v>
      </c>
      <c r="I267" s="388">
        <f t="shared" si="82"/>
        <v>0.6184071036518004</v>
      </c>
      <c r="L267" s="369">
        <v>1292.2</v>
      </c>
      <c r="M267" s="394">
        <f t="shared" ref="M267:M323" si="92">(L267/L266)-1</f>
        <v>-5.6460906622946005E-4</v>
      </c>
      <c r="N267" s="394">
        <f t="shared" si="86"/>
        <v>0.38934285222776532</v>
      </c>
      <c r="O267" s="395" t="str">
        <f t="shared" si="87"/>
        <v>Yes</v>
      </c>
      <c r="P267" s="396">
        <f t="shared" si="89"/>
        <v>1</v>
      </c>
      <c r="Q267" s="394">
        <f>SUM($P$4:P267)/COUNT($P$4:P267)</f>
        <v>0.53409090909090906</v>
      </c>
      <c r="W267" s="396">
        <f t="shared" si="90"/>
        <v>0</v>
      </c>
      <c r="X267" s="394" t="e">
        <f>SUM($W$4:W267)/COUNT($W$4:W267)</f>
        <v>#DIV/0!</v>
      </c>
      <c r="Z267" s="469"/>
    </row>
    <row r="268" spans="1:26" x14ac:dyDescent="0.15">
      <c r="A268" s="384">
        <f t="shared" si="88"/>
        <v>266</v>
      </c>
      <c r="B268" s="401">
        <f t="shared" si="91"/>
        <v>39688</v>
      </c>
      <c r="D268" s="390">
        <v>36245.360000000001</v>
      </c>
      <c r="E268" s="387">
        <v>36245.360000000001</v>
      </c>
      <c r="F268" s="387">
        <f t="shared" si="84"/>
        <v>-744.70999999999913</v>
      </c>
      <c r="G268" s="388">
        <f t="shared" si="85"/>
        <v>-2.0132700478804111E-2</v>
      </c>
      <c r="H268" s="387">
        <f t="shared" si="81"/>
        <v>13389.510000000002</v>
      </c>
      <c r="I268" s="388">
        <f t="shared" si="82"/>
        <v>0.58582419818120979</v>
      </c>
      <c r="L268" s="369">
        <v>1282.83</v>
      </c>
      <c r="M268" s="394">
        <f t="shared" si="92"/>
        <v>-7.2511995047207511E-3</v>
      </c>
      <c r="N268" s="394">
        <f t="shared" si="86"/>
        <v>0.37926845002580412</v>
      </c>
      <c r="O268" s="395" t="str">
        <f t="shared" si="87"/>
        <v>No</v>
      </c>
      <c r="P268" s="396">
        <f t="shared" si="89"/>
        <v>0</v>
      </c>
      <c r="Q268" s="394">
        <f>SUM($P$4:P268)/COUNT($P$4:P268)</f>
        <v>0.5320754716981132</v>
      </c>
      <c r="W268" s="396">
        <f t="shared" si="90"/>
        <v>0</v>
      </c>
      <c r="X268" s="394" t="e">
        <f>SUM($W$4:W268)/COUNT($W$4:W268)</f>
        <v>#DIV/0!</v>
      </c>
      <c r="Z268" s="469"/>
    </row>
    <row r="269" spans="1:26" x14ac:dyDescent="0.15">
      <c r="A269" s="384">
        <f t="shared" si="88"/>
        <v>267</v>
      </c>
      <c r="B269" s="401">
        <f t="shared" si="91"/>
        <v>39695</v>
      </c>
      <c r="D269" s="390">
        <v>35105.050000000003</v>
      </c>
      <c r="E269" s="387">
        <v>35105.050000000003</v>
      </c>
      <c r="F269" s="387">
        <f t="shared" si="84"/>
        <v>-1140.3099999999977</v>
      </c>
      <c r="G269" s="388">
        <f t="shared" si="85"/>
        <v>-3.1460854575592556E-2</v>
      </c>
      <c r="H269" s="387">
        <f t="shared" si="81"/>
        <v>12249.200000000004</v>
      </c>
      <c r="I269" s="388">
        <f t="shared" si="82"/>
        <v>0.53593281369977519</v>
      </c>
      <c r="L269" s="369">
        <v>1242.31</v>
      </c>
      <c r="M269" s="394">
        <f t="shared" si="92"/>
        <v>-3.1586414411886254E-2</v>
      </c>
      <c r="N269" s="394">
        <f t="shared" si="86"/>
        <v>0.335702305178049</v>
      </c>
      <c r="O269" s="395" t="str">
        <f t="shared" si="87"/>
        <v>Yes</v>
      </c>
      <c r="P269" s="396">
        <f t="shared" si="89"/>
        <v>1</v>
      </c>
      <c r="Q269" s="394">
        <f>SUM($P$4:P269)/COUNT($P$4:P269)</f>
        <v>0.53383458646616544</v>
      </c>
      <c r="W269" s="396">
        <f t="shared" si="90"/>
        <v>0</v>
      </c>
      <c r="X269" s="394" t="e">
        <f>SUM($W$4:W269)/COUNT($W$4:W269)</f>
        <v>#DIV/0!</v>
      </c>
      <c r="Z269" s="469"/>
    </row>
    <row r="270" spans="1:26" x14ac:dyDescent="0.15">
      <c r="A270" s="384">
        <f t="shared" si="88"/>
        <v>268</v>
      </c>
      <c r="B270" s="401">
        <f t="shared" si="91"/>
        <v>39702</v>
      </c>
      <c r="D270" s="390">
        <v>35100.04</v>
      </c>
      <c r="E270" s="387">
        <v>35100.04</v>
      </c>
      <c r="F270" s="387">
        <f t="shared" si="84"/>
        <v>-5.0100000000020373</v>
      </c>
      <c r="G270" s="388">
        <f t="shared" si="85"/>
        <v>-1.4271450973579736E-4</v>
      </c>
      <c r="H270" s="387">
        <f t="shared" si="81"/>
        <v>12244.190000000002</v>
      </c>
      <c r="I270" s="388">
        <f t="shared" si="82"/>
        <v>0.5357136138012808</v>
      </c>
      <c r="L270" s="369">
        <v>1251.7</v>
      </c>
      <c r="M270" s="394">
        <f t="shared" si="92"/>
        <v>7.5584998913316159E-3</v>
      </c>
      <c r="N270" s="394">
        <f t="shared" si="86"/>
        <v>0.34579821090658869</v>
      </c>
      <c r="O270" s="395" t="str">
        <f t="shared" si="87"/>
        <v>No</v>
      </c>
      <c r="P270" s="396">
        <f t="shared" si="89"/>
        <v>0</v>
      </c>
      <c r="Q270" s="394">
        <f>SUM($P$4:P270)/COUNT($P$4:P270)</f>
        <v>0.53183520599250933</v>
      </c>
      <c r="W270" s="396">
        <f t="shared" si="90"/>
        <v>0</v>
      </c>
      <c r="X270" s="394" t="e">
        <f>SUM($W$4:W270)/COUNT($W$4:W270)</f>
        <v>#DIV/0!</v>
      </c>
      <c r="Z270" s="469"/>
    </row>
    <row r="271" spans="1:26" x14ac:dyDescent="0.15">
      <c r="A271" s="384">
        <f t="shared" si="88"/>
        <v>269</v>
      </c>
      <c r="B271" s="401">
        <f t="shared" si="91"/>
        <v>39709</v>
      </c>
      <c r="D271" s="390">
        <v>34052.67</v>
      </c>
      <c r="E271" s="387">
        <v>34052.67</v>
      </c>
      <c r="F271" s="387">
        <f t="shared" si="84"/>
        <v>-1047.3700000000026</v>
      </c>
      <c r="G271" s="388">
        <f t="shared" si="85"/>
        <v>-2.9839567134396505E-2</v>
      </c>
      <c r="H271" s="387">
        <f t="shared" si="81"/>
        <v>11196.82</v>
      </c>
      <c r="I271" s="388">
        <f t="shared" si="82"/>
        <v>0.48988858432305071</v>
      </c>
      <c r="L271" s="369">
        <v>1255.08</v>
      </c>
      <c r="M271" s="394">
        <f t="shared" si="92"/>
        <v>2.70032755452565E-3</v>
      </c>
      <c r="N271" s="394">
        <f t="shared" si="86"/>
        <v>0.34943230689833116</v>
      </c>
      <c r="O271" s="395" t="str">
        <f t="shared" si="87"/>
        <v>No</v>
      </c>
      <c r="P271" s="396">
        <f t="shared" si="89"/>
        <v>0</v>
      </c>
      <c r="Q271" s="394">
        <f>SUM($P$4:P271)/COUNT($P$4:P271)</f>
        <v>0.52985074626865669</v>
      </c>
      <c r="W271" s="396">
        <f t="shared" si="90"/>
        <v>0</v>
      </c>
      <c r="X271" s="394" t="e">
        <f>SUM($W$4:W271)/COUNT($W$4:W271)</f>
        <v>#DIV/0!</v>
      </c>
      <c r="Z271" s="469"/>
    </row>
    <row r="272" spans="1:26" x14ac:dyDescent="0.15">
      <c r="A272" s="384">
        <f t="shared" si="88"/>
        <v>270</v>
      </c>
      <c r="B272" s="401">
        <f t="shared" si="91"/>
        <v>39716</v>
      </c>
      <c r="D272" s="390">
        <v>34576.71</v>
      </c>
      <c r="E272" s="387">
        <v>34576.71</v>
      </c>
      <c r="F272" s="387">
        <f t="shared" si="84"/>
        <v>524.04000000000087</v>
      </c>
      <c r="G272" s="388">
        <f t="shared" si="85"/>
        <v>1.5389101647536041E-2</v>
      </c>
      <c r="H272" s="387">
        <f t="shared" si="81"/>
        <v>11720.86</v>
      </c>
      <c r="I272" s="388">
        <f t="shared" si="82"/>
        <v>0.51281663119070187</v>
      </c>
      <c r="L272" s="369">
        <v>1213.27</v>
      </c>
      <c r="M272" s="394">
        <f t="shared" si="92"/>
        <v>-3.331261752238901E-2</v>
      </c>
      <c r="N272" s="394">
        <f t="shared" si="86"/>
        <v>0.30447918458627199</v>
      </c>
      <c r="O272" s="395" t="str">
        <f t="shared" si="87"/>
        <v>Yes</v>
      </c>
      <c r="P272" s="396">
        <f t="shared" si="89"/>
        <v>1</v>
      </c>
      <c r="Q272" s="394">
        <f>SUM($P$4:P272)/COUNT($P$4:P272)</f>
        <v>0.53159851301115246</v>
      </c>
      <c r="W272" s="396">
        <f t="shared" si="90"/>
        <v>0</v>
      </c>
      <c r="X272" s="394" t="e">
        <f>SUM($W$4:W272)/COUNT($W$4:W272)</f>
        <v>#DIV/0!</v>
      </c>
      <c r="Z272" s="469"/>
    </row>
    <row r="273" spans="1:26" x14ac:dyDescent="0.15">
      <c r="A273" s="384">
        <f t="shared" si="88"/>
        <v>271</v>
      </c>
      <c r="B273" s="401">
        <f t="shared" si="91"/>
        <v>39723</v>
      </c>
      <c r="D273" s="390">
        <v>32170.22</v>
      </c>
      <c r="E273" s="387">
        <v>32170.22</v>
      </c>
      <c r="F273" s="387">
        <f t="shared" si="84"/>
        <v>-2406.489999999998</v>
      </c>
      <c r="G273" s="388">
        <f t="shared" si="85"/>
        <v>-6.9598582398383124E-2</v>
      </c>
      <c r="H273" s="387">
        <f t="shared" si="81"/>
        <v>9314.3700000000026</v>
      </c>
      <c r="I273" s="388">
        <f t="shared" si="82"/>
        <v>0.40752673823113139</v>
      </c>
      <c r="L273" s="369">
        <v>1099.23</v>
      </c>
      <c r="M273" s="394">
        <f t="shared" si="92"/>
        <v>-9.399391726491213E-2</v>
      </c>
      <c r="N273" s="394">
        <f t="shared" si="86"/>
        <v>0.18186607603646987</v>
      </c>
      <c r="O273" s="395" t="str">
        <f t="shared" si="87"/>
        <v>Yes</v>
      </c>
      <c r="P273" s="396">
        <f t="shared" si="89"/>
        <v>1</v>
      </c>
      <c r="Q273" s="394">
        <f>SUM($P$4:P273)/COUNT($P$4:P273)</f>
        <v>0.53333333333333333</v>
      </c>
      <c r="W273" s="396">
        <f t="shared" si="90"/>
        <v>0</v>
      </c>
      <c r="X273" s="394" t="e">
        <f>SUM($W$4:W273)/COUNT($W$4:W273)</f>
        <v>#DIV/0!</v>
      </c>
      <c r="Z273" s="469"/>
    </row>
    <row r="274" spans="1:26" x14ac:dyDescent="0.15">
      <c r="A274" s="384">
        <f t="shared" si="88"/>
        <v>272</v>
      </c>
      <c r="B274" s="401">
        <f t="shared" si="91"/>
        <v>39730</v>
      </c>
      <c r="D274" s="390">
        <v>26110.18</v>
      </c>
      <c r="E274" s="387">
        <v>26110.18</v>
      </c>
      <c r="F274" s="387">
        <f t="shared" si="84"/>
        <v>-6060.0400000000009</v>
      </c>
      <c r="G274" s="388">
        <f t="shared" si="85"/>
        <v>-0.18837421689997769</v>
      </c>
      <c r="H274" s="387">
        <f t="shared" si="81"/>
        <v>3254.3300000000017</v>
      </c>
      <c r="I274" s="388">
        <f t="shared" si="82"/>
        <v>0.14238499115106196</v>
      </c>
      <c r="L274" s="369">
        <v>899.22</v>
      </c>
      <c r="M274" s="394">
        <f t="shared" si="92"/>
        <v>-0.18195464097595593</v>
      </c>
      <c r="N274" s="394">
        <f t="shared" si="86"/>
        <v>-3.3179941510407707E-2</v>
      </c>
      <c r="O274" s="395" t="str">
        <f t="shared" si="87"/>
        <v>No</v>
      </c>
      <c r="P274" s="396">
        <f t="shared" si="89"/>
        <v>0</v>
      </c>
      <c r="Q274" s="394">
        <f>SUM($P$4:P274)/COUNT($P$4:P274)</f>
        <v>0.53136531365313655</v>
      </c>
      <c r="W274" s="396">
        <f t="shared" si="90"/>
        <v>0</v>
      </c>
      <c r="X274" s="394" t="e">
        <f>SUM($W$4:W274)/COUNT($W$4:W274)</f>
        <v>#DIV/0!</v>
      </c>
      <c r="Z274" s="469"/>
    </row>
    <row r="275" spans="1:26" x14ac:dyDescent="0.15">
      <c r="A275" s="384">
        <f t="shared" si="88"/>
        <v>273</v>
      </c>
      <c r="B275" s="401">
        <f t="shared" si="91"/>
        <v>39737</v>
      </c>
      <c r="D275" s="390">
        <v>27300</v>
      </c>
      <c r="E275" s="387">
        <v>27300</v>
      </c>
      <c r="F275" s="387">
        <f t="shared" si="84"/>
        <v>1189.8199999999997</v>
      </c>
      <c r="G275" s="388">
        <f t="shared" si="85"/>
        <v>4.5569199446346298E-2</v>
      </c>
      <c r="H275" s="387">
        <f t="shared" si="81"/>
        <v>4444.1500000000015</v>
      </c>
      <c r="I275" s="388">
        <f t="shared" si="82"/>
        <v>0.19444256065733723</v>
      </c>
      <c r="L275" s="369">
        <v>940.55</v>
      </c>
      <c r="M275" s="394">
        <f t="shared" si="92"/>
        <v>4.5962056004092311E-2</v>
      </c>
      <c r="N275" s="394">
        <f t="shared" si="86"/>
        <v>1.1257096163770797E-2</v>
      </c>
      <c r="O275" s="395" t="str">
        <f t="shared" si="87"/>
        <v>No</v>
      </c>
      <c r="P275" s="396">
        <f t="shared" si="89"/>
        <v>0</v>
      </c>
      <c r="Q275" s="394">
        <f>SUM($P$4:P275)/COUNT($P$4:P275)</f>
        <v>0.52941176470588236</v>
      </c>
      <c r="W275" s="396">
        <f t="shared" si="90"/>
        <v>0</v>
      </c>
      <c r="X275" s="394" t="e">
        <f>SUM($W$4:W275)/COUNT($W$4:W275)</f>
        <v>#DIV/0!</v>
      </c>
      <c r="Z275" s="469"/>
    </row>
    <row r="276" spans="1:26" x14ac:dyDescent="0.15">
      <c r="A276" s="384">
        <f t="shared" si="88"/>
        <v>274</v>
      </c>
      <c r="B276" s="401">
        <f t="shared" si="91"/>
        <v>39744</v>
      </c>
      <c r="D276" s="390">
        <v>26069.88</v>
      </c>
      <c r="E276" s="387">
        <v>26069.88</v>
      </c>
      <c r="F276" s="387">
        <f t="shared" si="84"/>
        <v>-1230.119999999999</v>
      </c>
      <c r="G276" s="388">
        <f t="shared" si="85"/>
        <v>-4.5059340659340585E-2</v>
      </c>
      <c r="H276" s="387">
        <f t="shared" si="81"/>
        <v>3214.0300000000025</v>
      </c>
      <c r="I276" s="388">
        <f t="shared" si="82"/>
        <v>0.14062176641866309</v>
      </c>
      <c r="L276" s="369">
        <v>876.77</v>
      </c>
      <c r="M276" s="394">
        <f t="shared" si="92"/>
        <v>-6.7811386954441555E-2</v>
      </c>
      <c r="N276" s="394">
        <f t="shared" si="86"/>
        <v>-5.7317650094615535E-2</v>
      </c>
      <c r="O276" s="395" t="str">
        <f t="shared" si="87"/>
        <v>Yes</v>
      </c>
      <c r="P276" s="396">
        <f t="shared" si="89"/>
        <v>1</v>
      </c>
      <c r="Q276" s="394">
        <f>SUM($P$4:P276)/COUNT($P$4:P276)</f>
        <v>0.53113553113553114</v>
      </c>
      <c r="W276" s="396">
        <f t="shared" si="90"/>
        <v>0</v>
      </c>
      <c r="X276" s="394" t="e">
        <f>SUM($W$4:W276)/COUNT($W$4:W276)</f>
        <v>#DIV/0!</v>
      </c>
      <c r="Z276" s="469"/>
    </row>
    <row r="277" spans="1:26" x14ac:dyDescent="0.15">
      <c r="A277" s="384">
        <f t="shared" si="88"/>
        <v>275</v>
      </c>
      <c r="B277" s="401">
        <f t="shared" si="91"/>
        <v>39751</v>
      </c>
      <c r="D277" s="390">
        <v>26893.040000000001</v>
      </c>
      <c r="E277" s="387">
        <v>26893.040000000001</v>
      </c>
      <c r="F277" s="387">
        <f t="shared" si="84"/>
        <v>823.15999999999985</v>
      </c>
      <c r="G277" s="388">
        <f t="shared" si="85"/>
        <v>3.1575135750528949E-2</v>
      </c>
      <c r="H277" s="387">
        <f t="shared" si="81"/>
        <v>4037.1900000000023</v>
      </c>
      <c r="I277" s="388">
        <f t="shared" si="82"/>
        <v>0.17663705353334058</v>
      </c>
      <c r="L277" s="369">
        <v>968.75</v>
      </c>
      <c r="M277" s="394">
        <f t="shared" si="92"/>
        <v>0.10490778653466704</v>
      </c>
      <c r="N277" s="394">
        <f t="shared" si="86"/>
        <v>4.1577068639256698E-2</v>
      </c>
      <c r="O277" s="395" t="str">
        <f t="shared" si="87"/>
        <v>No</v>
      </c>
      <c r="P277" s="396">
        <f t="shared" si="89"/>
        <v>0</v>
      </c>
      <c r="Q277" s="394">
        <f>SUM($P$4:P277)/COUNT($P$4:P277)</f>
        <v>0.52919708029197077</v>
      </c>
      <c r="W277" s="396">
        <f t="shared" si="90"/>
        <v>0</v>
      </c>
      <c r="X277" s="394" t="e">
        <f>SUM($W$4:W277)/COUNT($W$4:W277)</f>
        <v>#DIV/0!</v>
      </c>
      <c r="Z277" s="469"/>
    </row>
    <row r="278" spans="1:26" x14ac:dyDescent="0.15">
      <c r="A278" s="384">
        <f t="shared" si="88"/>
        <v>276</v>
      </c>
      <c r="B278" s="401">
        <f t="shared" si="91"/>
        <v>39758</v>
      </c>
      <c r="D278" s="390">
        <v>26651.17</v>
      </c>
      <c r="E278" s="387">
        <v>26651.17</v>
      </c>
      <c r="F278" s="387">
        <f t="shared" si="84"/>
        <v>-241.87000000000262</v>
      </c>
      <c r="G278" s="388">
        <f t="shared" si="85"/>
        <v>-8.9937768285028863E-3</v>
      </c>
      <c r="H278" s="387">
        <f t="shared" si="81"/>
        <v>3795.3199999999997</v>
      </c>
      <c r="I278" s="388">
        <f t="shared" si="82"/>
        <v>0.16605464246571455</v>
      </c>
      <c r="L278" s="369">
        <v>930.99</v>
      </c>
      <c r="M278" s="394">
        <f t="shared" si="92"/>
        <v>-3.8978064516129063E-2</v>
      </c>
      <c r="N278" s="394">
        <f t="shared" si="86"/>
        <v>9.7841045931534865E-4</v>
      </c>
      <c r="O278" s="395" t="str">
        <f t="shared" si="87"/>
        <v>Yes</v>
      </c>
      <c r="P278" s="396">
        <f t="shared" si="89"/>
        <v>1</v>
      </c>
      <c r="Q278" s="394">
        <f>SUM($P$4:P278)/COUNT($P$4:P278)</f>
        <v>0.53090909090909089</v>
      </c>
      <c r="W278" s="396">
        <f t="shared" si="90"/>
        <v>0</v>
      </c>
      <c r="X278" s="394" t="e">
        <f>SUM($W$4:W278)/COUNT($W$4:W278)</f>
        <v>#DIV/0!</v>
      </c>
      <c r="Z278" s="469"/>
    </row>
    <row r="279" spans="1:26" x14ac:dyDescent="0.15">
      <c r="A279" s="384">
        <f t="shared" si="88"/>
        <v>277</v>
      </c>
      <c r="B279" s="401">
        <f t="shared" si="91"/>
        <v>39765</v>
      </c>
      <c r="D279" s="390">
        <v>26342.12</v>
      </c>
      <c r="E279" s="387">
        <v>26342.12</v>
      </c>
      <c r="F279" s="387">
        <f t="shared" si="84"/>
        <v>-309.04999999999927</v>
      </c>
      <c r="G279" s="388">
        <f t="shared" si="85"/>
        <v>-1.1596113791627172E-2</v>
      </c>
      <c r="H279" s="387">
        <f t="shared" si="81"/>
        <v>3486.2700000000004</v>
      </c>
      <c r="I279" s="388">
        <f t="shared" si="82"/>
        <v>0.15253294014442687</v>
      </c>
      <c r="L279" s="369">
        <v>873.29</v>
      </c>
      <c r="M279" s="394">
        <f t="shared" si="92"/>
        <v>-6.1977035199089148E-2</v>
      </c>
      <c r="N279" s="394">
        <f t="shared" si="86"/>
        <v>-6.1059263719250079E-2</v>
      </c>
      <c r="O279" s="395" t="str">
        <f t="shared" si="87"/>
        <v>Yes</v>
      </c>
      <c r="P279" s="396">
        <f t="shared" si="89"/>
        <v>1</v>
      </c>
      <c r="Q279" s="394">
        <f>SUM($P$4:P279)/COUNT($P$4:P279)</f>
        <v>0.53260869565217395</v>
      </c>
      <c r="W279" s="396">
        <f t="shared" si="90"/>
        <v>0</v>
      </c>
      <c r="X279" s="394" t="e">
        <f>SUM($W$4:W279)/COUNT($W$4:W279)</f>
        <v>#DIV/0!</v>
      </c>
      <c r="Z279" s="469"/>
    </row>
    <row r="280" spans="1:26" x14ac:dyDescent="0.15">
      <c r="A280" s="384">
        <f t="shared" si="88"/>
        <v>278</v>
      </c>
      <c r="B280" s="401">
        <f t="shared" si="91"/>
        <v>39772</v>
      </c>
      <c r="D280" s="390">
        <v>26129.34</v>
      </c>
      <c r="E280" s="387">
        <v>26129.34</v>
      </c>
      <c r="F280" s="387">
        <f t="shared" si="84"/>
        <v>-212.77999999999884</v>
      </c>
      <c r="G280" s="388">
        <f t="shared" si="85"/>
        <v>-8.0775579186488367E-3</v>
      </c>
      <c r="H280" s="387">
        <f t="shared" si="81"/>
        <v>3273.4900000000016</v>
      </c>
      <c r="I280" s="388">
        <f t="shared" si="82"/>
        <v>0.14322328856725974</v>
      </c>
      <c r="L280" s="369">
        <v>800.03</v>
      </c>
      <c r="M280" s="394">
        <f t="shared" si="92"/>
        <v>-8.3889658647184784E-2</v>
      </c>
      <c r="N280" s="394">
        <f t="shared" si="86"/>
        <v>-0.13982668157577849</v>
      </c>
      <c r="O280" s="395" t="str">
        <f t="shared" si="87"/>
        <v>Yes</v>
      </c>
      <c r="P280" s="396">
        <f t="shared" si="89"/>
        <v>1</v>
      </c>
      <c r="Q280" s="394">
        <f>SUM($P$4:P280)/COUNT($P$4:P280)</f>
        <v>0.53429602888086647</v>
      </c>
      <c r="W280" s="396">
        <f t="shared" si="90"/>
        <v>0</v>
      </c>
      <c r="X280" s="394" t="e">
        <f>SUM($W$4:W280)/COUNT($W$4:W280)</f>
        <v>#DIV/0!</v>
      </c>
      <c r="Z280" s="469"/>
    </row>
    <row r="281" spans="1:26" x14ac:dyDescent="0.15">
      <c r="A281" s="384">
        <f t="shared" si="88"/>
        <v>279</v>
      </c>
      <c r="B281" s="401">
        <f t="shared" si="91"/>
        <v>39779</v>
      </c>
      <c r="D281" s="390">
        <v>25639.75</v>
      </c>
      <c r="E281" s="387">
        <v>25639.75</v>
      </c>
      <c r="F281" s="387">
        <f t="shared" si="84"/>
        <v>-489.59000000000015</v>
      </c>
      <c r="G281" s="388">
        <f t="shared" si="85"/>
        <v>-1.8737174379452326E-2</v>
      </c>
      <c r="H281" s="387">
        <f t="shared" si="81"/>
        <v>2783.9000000000015</v>
      </c>
      <c r="I281" s="388">
        <f t="shared" si="82"/>
        <v>0.1218025144547239</v>
      </c>
      <c r="L281" s="369">
        <v>896.24</v>
      </c>
      <c r="M281" s="394">
        <f t="shared" si="92"/>
        <v>0.12025799032536288</v>
      </c>
      <c r="N281" s="394">
        <f t="shared" si="86"/>
        <v>-3.6383966970583215E-2</v>
      </c>
      <c r="O281" s="395" t="str">
        <f t="shared" si="87"/>
        <v>No</v>
      </c>
      <c r="P281" s="396">
        <f t="shared" si="89"/>
        <v>0</v>
      </c>
      <c r="Q281" s="394">
        <f>SUM($P$4:P281)/COUNT($P$4:P281)</f>
        <v>0.53237410071942448</v>
      </c>
      <c r="W281" s="396">
        <f t="shared" si="90"/>
        <v>0</v>
      </c>
      <c r="X281" s="394" t="e">
        <f>SUM($W$4:W281)/COUNT($W$4:W281)</f>
        <v>#DIV/0!</v>
      </c>
      <c r="Z281" s="469"/>
    </row>
    <row r="282" spans="1:26" x14ac:dyDescent="0.15">
      <c r="A282" s="384">
        <f t="shared" si="88"/>
        <v>280</v>
      </c>
      <c r="B282" s="401">
        <f t="shared" si="91"/>
        <v>39786</v>
      </c>
      <c r="D282" s="390">
        <v>25732.83</v>
      </c>
      <c r="E282" s="387">
        <v>25732.83</v>
      </c>
      <c r="F282" s="387">
        <f t="shared" si="84"/>
        <v>93.080000000001746</v>
      </c>
      <c r="G282" s="388">
        <f t="shared" si="85"/>
        <v>3.6303006074553945E-3</v>
      </c>
      <c r="H282" s="387">
        <f t="shared" si="81"/>
        <v>2876.9800000000032</v>
      </c>
      <c r="I282" s="388">
        <f t="shared" si="82"/>
        <v>0.12587499480439379</v>
      </c>
      <c r="L282" s="369">
        <v>876.07</v>
      </c>
      <c r="M282" s="394">
        <f t="shared" si="92"/>
        <v>-2.2505132553780172E-2</v>
      </c>
      <c r="N282" s="394">
        <f t="shared" si="86"/>
        <v>-5.8070273524858051E-2</v>
      </c>
      <c r="O282" s="395" t="str">
        <f t="shared" si="87"/>
        <v>Yes</v>
      </c>
      <c r="P282" s="396">
        <f t="shared" si="89"/>
        <v>1</v>
      </c>
      <c r="Q282" s="394">
        <f>SUM($P$4:P282)/COUNT($P$4:P282)</f>
        <v>0.53405017921146958</v>
      </c>
      <c r="W282" s="396">
        <f t="shared" si="90"/>
        <v>0</v>
      </c>
      <c r="X282" s="394" t="e">
        <f>SUM($W$4:W282)/COUNT($W$4:W282)</f>
        <v>#DIV/0!</v>
      </c>
      <c r="Z282" s="469"/>
    </row>
    <row r="283" spans="1:26" x14ac:dyDescent="0.15">
      <c r="A283" s="384">
        <f t="shared" si="88"/>
        <v>281</v>
      </c>
      <c r="B283" s="401">
        <f t="shared" si="91"/>
        <v>39793</v>
      </c>
      <c r="D283" s="390">
        <v>25901.23</v>
      </c>
      <c r="E283" s="387">
        <v>25901.23</v>
      </c>
      <c r="F283" s="387">
        <f t="shared" si="84"/>
        <v>168.39999999999782</v>
      </c>
      <c r="G283" s="388">
        <f t="shared" si="85"/>
        <v>6.5441694520189664E-3</v>
      </c>
      <c r="H283" s="387">
        <f t="shared" si="81"/>
        <v>3045.380000000001</v>
      </c>
      <c r="I283" s="388">
        <f t="shared" si="82"/>
        <v>0.13324291155218471</v>
      </c>
      <c r="L283" s="369">
        <v>879.73</v>
      </c>
      <c r="M283" s="394">
        <f t="shared" si="92"/>
        <v>4.177748353441979E-3</v>
      </c>
      <c r="N283" s="394">
        <f t="shared" si="86"/>
        <v>-5.4135128161018398E-2</v>
      </c>
      <c r="O283" s="395" t="str">
        <f t="shared" si="87"/>
        <v>Yes</v>
      </c>
      <c r="P283" s="396">
        <f t="shared" si="89"/>
        <v>1</v>
      </c>
      <c r="Q283" s="394">
        <f>SUM($P$4:P283)/COUNT($P$4:P283)</f>
        <v>0.5357142857142857</v>
      </c>
      <c r="W283" s="396">
        <f t="shared" si="90"/>
        <v>0</v>
      </c>
      <c r="X283" s="394" t="e">
        <f>SUM($W$4:W283)/COUNT($W$4:W283)</f>
        <v>#DIV/0!</v>
      </c>
      <c r="Z283" s="469"/>
    </row>
    <row r="284" spans="1:26" x14ac:dyDescent="0.15">
      <c r="A284" s="384">
        <f t="shared" si="88"/>
        <v>282</v>
      </c>
      <c r="B284" s="401">
        <f t="shared" si="91"/>
        <v>39800</v>
      </c>
      <c r="D284" s="390">
        <v>26105.83</v>
      </c>
      <c r="E284" s="387">
        <v>26105.83</v>
      </c>
      <c r="F284" s="387">
        <f t="shared" si="84"/>
        <v>204.60000000000218</v>
      </c>
      <c r="G284" s="388">
        <f t="shared" si="85"/>
        <v>7.8992387620202553E-3</v>
      </c>
      <c r="H284" s="387">
        <f t="shared" si="81"/>
        <v>3249.9800000000032</v>
      </c>
      <c r="I284" s="388">
        <f t="shared" si="82"/>
        <v>0.14219466788590251</v>
      </c>
      <c r="L284" s="369">
        <v>887.88</v>
      </c>
      <c r="M284" s="394">
        <f t="shared" si="92"/>
        <v>9.2642060632239787E-3</v>
      </c>
      <c r="N284" s="394">
        <f t="shared" si="86"/>
        <v>-4.5372441080337222E-2</v>
      </c>
      <c r="O284" s="395" t="str">
        <f t="shared" si="87"/>
        <v>No</v>
      </c>
      <c r="P284" s="396">
        <f t="shared" si="89"/>
        <v>0</v>
      </c>
      <c r="Q284" s="394">
        <f>SUM($P$4:P284)/COUNT($P$4:P284)</f>
        <v>0.53380782918149461</v>
      </c>
      <c r="W284" s="396">
        <f t="shared" si="90"/>
        <v>0</v>
      </c>
      <c r="X284" s="394" t="e">
        <f>SUM($W$4:W284)/COUNT($W$4:W284)</f>
        <v>#DIV/0!</v>
      </c>
      <c r="Z284" s="469"/>
    </row>
    <row r="285" spans="1:26" x14ac:dyDescent="0.15">
      <c r="A285" s="384">
        <f t="shared" si="88"/>
        <v>283</v>
      </c>
      <c r="B285" s="401">
        <f t="shared" si="91"/>
        <v>39807</v>
      </c>
      <c r="D285" s="390">
        <v>25998.34</v>
      </c>
      <c r="E285" s="387">
        <v>25998.34</v>
      </c>
      <c r="F285" s="387">
        <f t="shared" si="84"/>
        <v>-107.4900000000016</v>
      </c>
      <c r="G285" s="388">
        <f t="shared" si="85"/>
        <v>-4.1174710782994062E-3</v>
      </c>
      <c r="H285" s="387">
        <f t="shared" si="81"/>
        <v>3142.4900000000016</v>
      </c>
      <c r="I285" s="388">
        <f t="shared" si="82"/>
        <v>0.13749171437509444</v>
      </c>
      <c r="L285" s="369">
        <v>872.8</v>
      </c>
      <c r="M285" s="394">
        <f t="shared" si="92"/>
        <v>-1.6984277154570515E-2</v>
      </c>
      <c r="N285" s="394">
        <f t="shared" si="86"/>
        <v>-6.1586100120419873E-2</v>
      </c>
      <c r="O285" s="395" t="str">
        <f t="shared" si="87"/>
        <v>Yes</v>
      </c>
      <c r="P285" s="396">
        <f t="shared" si="89"/>
        <v>1</v>
      </c>
      <c r="Q285" s="394">
        <f>SUM($P$4:P285)/COUNT($P$4:P285)</f>
        <v>0.53546099290780147</v>
      </c>
      <c r="W285" s="396">
        <f t="shared" si="90"/>
        <v>0</v>
      </c>
      <c r="X285" s="394" t="e">
        <f>SUM($W$4:W285)/COUNT($W$4:W285)</f>
        <v>#DIV/0!</v>
      </c>
      <c r="Z285" s="469"/>
    </row>
    <row r="286" spans="1:26" x14ac:dyDescent="0.15">
      <c r="A286" s="384">
        <f t="shared" si="88"/>
        <v>284</v>
      </c>
      <c r="B286" s="401">
        <f t="shared" si="91"/>
        <v>39814</v>
      </c>
      <c r="D286" s="390">
        <v>26188.93</v>
      </c>
      <c r="E286" s="387">
        <v>26188.93</v>
      </c>
      <c r="F286" s="387">
        <f t="shared" si="84"/>
        <v>190.59000000000015</v>
      </c>
      <c r="G286" s="388">
        <f t="shared" si="85"/>
        <v>7.3308526621314041E-3</v>
      </c>
      <c r="H286" s="387">
        <f t="shared" si="81"/>
        <v>3333.0800000000017</v>
      </c>
      <c r="I286" s="388">
        <f t="shared" si="82"/>
        <v>0.14583049853757357</v>
      </c>
      <c r="L286" s="369">
        <v>931.8</v>
      </c>
      <c r="M286" s="394">
        <f t="shared" si="92"/>
        <v>6.759853345554534E-2</v>
      </c>
      <c r="N286" s="394">
        <f t="shared" si="86"/>
        <v>1.8493032857387348E-3</v>
      </c>
      <c r="O286" s="395" t="str">
        <f t="shared" si="87"/>
        <v>No</v>
      </c>
      <c r="P286" s="396">
        <f t="shared" si="89"/>
        <v>0</v>
      </c>
      <c r="Q286" s="394">
        <f>SUM($P$4:P286)/COUNT($P$4:P286)</f>
        <v>0.53356890459363959</v>
      </c>
      <c r="W286" s="396">
        <f t="shared" si="90"/>
        <v>0</v>
      </c>
      <c r="X286" s="394" t="e">
        <f>SUM($W$4:W286)/COUNT($W$4:W286)</f>
        <v>#DIV/0!</v>
      </c>
      <c r="Z286" s="469"/>
    </row>
    <row r="287" spans="1:26" x14ac:dyDescent="0.15">
      <c r="A287" s="384">
        <f t="shared" si="88"/>
        <v>285</v>
      </c>
      <c r="B287" s="401">
        <f t="shared" si="91"/>
        <v>39821</v>
      </c>
      <c r="D287" s="390">
        <v>25940.33</v>
      </c>
      <c r="E287" s="387">
        <v>25940.33</v>
      </c>
      <c r="F287" s="387">
        <f t="shared" si="84"/>
        <v>-248.59999999999854</v>
      </c>
      <c r="G287" s="388">
        <f t="shared" si="85"/>
        <v>-9.4925604062479074E-3</v>
      </c>
      <c r="H287" s="387">
        <f t="shared" si="81"/>
        <v>3084.4800000000032</v>
      </c>
      <c r="I287" s="388">
        <f t="shared" si="82"/>
        <v>0.13495363331488441</v>
      </c>
      <c r="L287" s="369">
        <v>890.35</v>
      </c>
      <c r="M287" s="394">
        <f t="shared" si="92"/>
        <v>-4.4483794805752264E-2</v>
      </c>
      <c r="N287" s="394">
        <f t="shared" si="86"/>
        <v>-4.2716755547909879E-2</v>
      </c>
      <c r="O287" s="395" t="str">
        <f t="shared" si="87"/>
        <v>Yes</v>
      </c>
      <c r="P287" s="396">
        <f t="shared" si="89"/>
        <v>1</v>
      </c>
      <c r="Q287" s="394">
        <f>SUM($P$4:P287)/COUNT($P$4:P287)</f>
        <v>0.53521126760563376</v>
      </c>
      <c r="W287" s="396">
        <f t="shared" si="90"/>
        <v>0</v>
      </c>
      <c r="X287" s="394" t="e">
        <f>SUM($W$4:W287)/COUNT($W$4:W287)</f>
        <v>#DIV/0!</v>
      </c>
      <c r="Z287" s="469"/>
    </row>
    <row r="288" spans="1:26" x14ac:dyDescent="0.15">
      <c r="A288" s="384">
        <f t="shared" si="88"/>
        <v>286</v>
      </c>
      <c r="B288" s="401">
        <f t="shared" si="91"/>
        <v>39828</v>
      </c>
      <c r="D288" s="390">
        <v>24993.23</v>
      </c>
      <c r="E288" s="387">
        <v>24993.23</v>
      </c>
      <c r="F288" s="387">
        <f t="shared" si="84"/>
        <v>-947.10000000000218</v>
      </c>
      <c r="G288" s="388">
        <f t="shared" si="85"/>
        <v>-3.6510715168234231E-2</v>
      </c>
      <c r="H288" s="387">
        <f t="shared" si="81"/>
        <v>2137.380000000001</v>
      </c>
      <c r="I288" s="388">
        <f t="shared" si="82"/>
        <v>9.3515664479772109E-2</v>
      </c>
      <c r="L288" s="369">
        <v>850.12</v>
      </c>
      <c r="M288" s="394">
        <f t="shared" si="92"/>
        <v>-4.5184478014264062E-2</v>
      </c>
      <c r="N288" s="394">
        <f t="shared" si="86"/>
        <v>-8.5971099260278683E-2</v>
      </c>
      <c r="O288" s="395" t="str">
        <f t="shared" si="87"/>
        <v>Yes</v>
      </c>
      <c r="P288" s="396">
        <f t="shared" si="89"/>
        <v>1</v>
      </c>
      <c r="Q288" s="394">
        <f>SUM($P$4:P288)/COUNT($P$4:P288)</f>
        <v>0.5368421052631579</v>
      </c>
      <c r="W288" s="396">
        <f t="shared" si="90"/>
        <v>0</v>
      </c>
      <c r="X288" s="394" t="e">
        <f>SUM($W$4:W288)/COUNT($W$4:W288)</f>
        <v>#DIV/0!</v>
      </c>
      <c r="Z288" s="469"/>
    </row>
    <row r="289" spans="1:26" x14ac:dyDescent="0.15">
      <c r="A289" s="384">
        <f t="shared" si="88"/>
        <v>287</v>
      </c>
      <c r="B289" s="401">
        <f t="shared" si="91"/>
        <v>39835</v>
      </c>
      <c r="D289" s="390">
        <v>23370.76</v>
      </c>
      <c r="E289" s="387">
        <v>23370.76</v>
      </c>
      <c r="F289" s="387">
        <f t="shared" si="84"/>
        <v>-1622.4700000000012</v>
      </c>
      <c r="G289" s="388">
        <f t="shared" si="85"/>
        <v>-6.4916379355529519E-2</v>
      </c>
      <c r="H289" s="387">
        <f t="shared" si="81"/>
        <v>514.90999999999985</v>
      </c>
      <c r="I289" s="388">
        <f t="shared" si="82"/>
        <v>2.2528586773189252E-2</v>
      </c>
      <c r="L289" s="369">
        <v>831.95</v>
      </c>
      <c r="M289" s="394">
        <f t="shared" si="92"/>
        <v>-2.1373453159553857E-2</v>
      </c>
      <c r="N289" s="394">
        <f t="shared" si="86"/>
        <v>-0.10550705315671771</v>
      </c>
      <c r="O289" s="395" t="str">
        <f t="shared" si="87"/>
        <v>No</v>
      </c>
      <c r="P289" s="396">
        <f t="shared" si="89"/>
        <v>0</v>
      </c>
      <c r="Q289" s="394">
        <f>SUM($P$4:P289)/COUNT($P$4:P289)</f>
        <v>0.534965034965035</v>
      </c>
      <c r="W289" s="396">
        <f t="shared" si="90"/>
        <v>0</v>
      </c>
      <c r="X289" s="394" t="e">
        <f>SUM($W$4:W289)/COUNT($W$4:W289)</f>
        <v>#DIV/0!</v>
      </c>
      <c r="Z289" s="469"/>
    </row>
    <row r="290" spans="1:26" x14ac:dyDescent="0.15">
      <c r="A290" s="384">
        <f t="shared" si="88"/>
        <v>288</v>
      </c>
      <c r="B290" s="401">
        <f t="shared" si="91"/>
        <v>39842</v>
      </c>
      <c r="D290" s="390">
        <v>23715</v>
      </c>
      <c r="E290" s="387">
        <v>23715</v>
      </c>
      <c r="F290" s="387">
        <f t="shared" si="84"/>
        <v>344.2400000000016</v>
      </c>
      <c r="G290" s="388">
        <f t="shared" si="85"/>
        <v>1.4729516712336244E-2</v>
      </c>
      <c r="H290" s="387">
        <f t="shared" si="81"/>
        <v>859.15000000000146</v>
      </c>
      <c r="I290" s="388">
        <f t="shared" si="82"/>
        <v>3.7589938680906654E-2</v>
      </c>
      <c r="L290" s="369">
        <v>825.88</v>
      </c>
      <c r="M290" s="394">
        <f t="shared" si="92"/>
        <v>-7.2961115451650738E-3</v>
      </c>
      <c r="N290" s="394">
        <f t="shared" si="86"/>
        <v>-0.11203337347324971</v>
      </c>
      <c r="O290" s="395" t="str">
        <f t="shared" si="87"/>
        <v>Yes</v>
      </c>
      <c r="P290" s="396">
        <f t="shared" si="89"/>
        <v>1</v>
      </c>
      <c r="Q290" s="394">
        <f>SUM($P$4:P290)/COUNT($P$4:P290)</f>
        <v>0.53658536585365857</v>
      </c>
      <c r="W290" s="396">
        <f t="shared" si="90"/>
        <v>0</v>
      </c>
      <c r="X290" s="394" t="e">
        <f>SUM($W$4:W290)/COUNT($W$4:W290)</f>
        <v>#DIV/0!</v>
      </c>
      <c r="Z290" s="469"/>
    </row>
    <row r="291" spans="1:26" x14ac:dyDescent="0.15">
      <c r="A291" s="384">
        <f t="shared" si="88"/>
        <v>289</v>
      </c>
      <c r="B291" s="401">
        <f t="shared" si="91"/>
        <v>39849</v>
      </c>
      <c r="D291" s="390">
        <v>24215.34</v>
      </c>
      <c r="E291" s="387">
        <v>24215.34</v>
      </c>
      <c r="F291" s="387">
        <f t="shared" si="84"/>
        <v>500.34000000000015</v>
      </c>
      <c r="G291" s="388">
        <f t="shared" si="85"/>
        <v>2.1098039215686315E-2</v>
      </c>
      <c r="H291" s="387">
        <f t="shared" si="81"/>
        <v>1359.4900000000016</v>
      </c>
      <c r="I291" s="388">
        <f t="shared" si="82"/>
        <v>5.9481051896997927E-2</v>
      </c>
      <c r="L291" s="369">
        <v>868.6</v>
      </c>
      <c r="M291" s="394">
        <f t="shared" si="92"/>
        <v>5.1726643095849401E-2</v>
      </c>
      <c r="N291" s="394">
        <f t="shared" si="86"/>
        <v>-6.6101840701875081E-2</v>
      </c>
      <c r="O291" s="395" t="str">
        <f t="shared" si="87"/>
        <v>No</v>
      </c>
      <c r="P291" s="396">
        <f t="shared" si="89"/>
        <v>0</v>
      </c>
      <c r="Q291" s="394">
        <f>SUM($P$4:P291)/COUNT($P$4:P291)</f>
        <v>0.53472222222222221</v>
      </c>
      <c r="W291" s="396">
        <f t="shared" si="90"/>
        <v>0</v>
      </c>
      <c r="X291" s="394" t="e">
        <f>SUM($W$4:W291)/COUNT($W$4:W291)</f>
        <v>#DIV/0!</v>
      </c>
      <c r="Z291" s="469"/>
    </row>
    <row r="292" spans="1:26" x14ac:dyDescent="0.15">
      <c r="A292" s="384">
        <f t="shared" si="88"/>
        <v>290</v>
      </c>
      <c r="B292" s="401">
        <f t="shared" si="91"/>
        <v>39856</v>
      </c>
      <c r="D292" s="390">
        <v>23485.34</v>
      </c>
      <c r="E292" s="387">
        <v>23485.34</v>
      </c>
      <c r="F292" s="387">
        <f t="shared" si="84"/>
        <v>-730</v>
      </c>
      <c r="G292" s="388">
        <f t="shared" si="85"/>
        <v>-3.0146180066024209E-2</v>
      </c>
      <c r="H292" s="387">
        <f t="shared" si="81"/>
        <v>629.4900000000016</v>
      </c>
      <c r="I292" s="388">
        <f t="shared" si="82"/>
        <v>2.7541745329970224E-2</v>
      </c>
      <c r="L292" s="369">
        <v>826.84</v>
      </c>
      <c r="M292" s="394">
        <f t="shared" si="92"/>
        <v>-4.8077365876122435E-2</v>
      </c>
      <c r="N292" s="394">
        <f t="shared" si="86"/>
        <v>-0.11100120419748838</v>
      </c>
      <c r="O292" s="395" t="str">
        <f t="shared" si="87"/>
        <v>Yes</v>
      </c>
      <c r="P292" s="396">
        <f t="shared" si="89"/>
        <v>1</v>
      </c>
      <c r="Q292" s="394">
        <f>SUM($P$4:P292)/COUNT($P$4:P292)</f>
        <v>0.53633217993079585</v>
      </c>
      <c r="W292" s="396">
        <f t="shared" si="90"/>
        <v>0</v>
      </c>
      <c r="X292" s="394" t="e">
        <f>SUM($W$4:W292)/COUNT($W$4:W292)</f>
        <v>#DIV/0!</v>
      </c>
      <c r="Z292" s="469"/>
    </row>
    <row r="293" spans="1:26" x14ac:dyDescent="0.15">
      <c r="A293" s="384">
        <f t="shared" si="88"/>
        <v>291</v>
      </c>
      <c r="B293" s="401">
        <f t="shared" si="91"/>
        <v>39863</v>
      </c>
      <c r="D293" s="390">
        <v>23456.23</v>
      </c>
      <c r="E293" s="387">
        <v>23456.23</v>
      </c>
      <c r="F293" s="387">
        <f t="shared" si="84"/>
        <v>-29.110000000000582</v>
      </c>
      <c r="G293" s="388">
        <f t="shared" si="85"/>
        <v>-1.2394966391799933E-3</v>
      </c>
      <c r="H293" s="387">
        <f t="shared" si="81"/>
        <v>600.38000000000102</v>
      </c>
      <c r="I293" s="388">
        <f t="shared" si="82"/>
        <v>2.6268110790016674E-2</v>
      </c>
      <c r="L293" s="369">
        <v>770.05</v>
      </c>
      <c r="M293" s="394">
        <f t="shared" si="92"/>
        <v>-6.8683179333365652E-2</v>
      </c>
      <c r="N293" s="394">
        <f t="shared" si="86"/>
        <v>-0.17206046791673846</v>
      </c>
      <c r="O293" s="395" t="str">
        <f t="shared" si="87"/>
        <v>Yes</v>
      </c>
      <c r="P293" s="396">
        <f t="shared" si="89"/>
        <v>1</v>
      </c>
      <c r="Q293" s="394">
        <f>SUM($P$4:P293)/COUNT($P$4:P293)</f>
        <v>0.53793103448275859</v>
      </c>
      <c r="W293" s="396">
        <f t="shared" si="90"/>
        <v>0</v>
      </c>
      <c r="X293" s="394" t="e">
        <f>SUM($W$4:W293)/COUNT($W$4:W293)</f>
        <v>#DIV/0!</v>
      </c>
      <c r="Z293" s="469"/>
    </row>
    <row r="294" spans="1:26" x14ac:dyDescent="0.15">
      <c r="A294" s="384">
        <f t="shared" si="88"/>
        <v>292</v>
      </c>
      <c r="B294" s="401">
        <f t="shared" si="91"/>
        <v>39870</v>
      </c>
      <c r="D294" s="390">
        <v>22009.78</v>
      </c>
      <c r="E294" s="387">
        <v>22009.78</v>
      </c>
      <c r="F294" s="387">
        <f t="shared" si="84"/>
        <v>-1446.4500000000007</v>
      </c>
      <c r="G294" s="388">
        <f t="shared" si="85"/>
        <v>-6.166591988567649E-2</v>
      </c>
      <c r="H294" s="387">
        <f t="shared" si="81"/>
        <v>-846.06999999999971</v>
      </c>
      <c r="I294" s="388">
        <f t="shared" si="82"/>
        <v>-3.7017656311185143E-2</v>
      </c>
      <c r="L294" s="369">
        <v>735.09</v>
      </c>
      <c r="M294" s="394">
        <f t="shared" si="92"/>
        <v>-4.5399649373417228E-2</v>
      </c>
      <c r="N294" s="394">
        <f t="shared" si="86"/>
        <v>-0.20964863237570963</v>
      </c>
      <c r="O294" s="395" t="str">
        <f t="shared" si="87"/>
        <v>No</v>
      </c>
      <c r="P294" s="396">
        <f t="shared" si="89"/>
        <v>0</v>
      </c>
      <c r="Q294" s="394">
        <f>SUM($P$4:P294)/COUNT($P$4:P294)</f>
        <v>0.53608247422680411</v>
      </c>
      <c r="W294" s="396">
        <f t="shared" si="90"/>
        <v>0</v>
      </c>
      <c r="X294" s="394" t="e">
        <f>SUM($W$4:W294)/COUNT($W$4:W294)</f>
        <v>#DIV/0!</v>
      </c>
      <c r="Z294" s="469"/>
    </row>
    <row r="295" spans="1:26" x14ac:dyDescent="0.15">
      <c r="A295" s="384">
        <f t="shared" si="88"/>
        <v>293</v>
      </c>
      <c r="B295" s="401">
        <f t="shared" si="91"/>
        <v>39877</v>
      </c>
      <c r="D295" s="390">
        <v>21345.55</v>
      </c>
      <c r="E295" s="387">
        <v>21345.55</v>
      </c>
      <c r="F295" s="387">
        <f t="shared" si="84"/>
        <v>-664.22999999999956</v>
      </c>
      <c r="G295" s="388">
        <f t="shared" si="85"/>
        <v>-3.0178856853635083E-2</v>
      </c>
      <c r="H295" s="387">
        <f t="shared" si="81"/>
        <v>-1510.2999999999993</v>
      </c>
      <c r="I295" s="388">
        <f t="shared" si="82"/>
        <v>-6.6079362613947867E-2</v>
      </c>
      <c r="L295" s="369">
        <v>683.38</v>
      </c>
      <c r="M295" s="394">
        <f t="shared" si="92"/>
        <v>-7.0345127807479368E-2</v>
      </c>
      <c r="N295" s="394">
        <f t="shared" si="86"/>
        <v>-0.26524600034405643</v>
      </c>
      <c r="O295" s="395" t="str">
        <f t="shared" si="87"/>
        <v>Yes</v>
      </c>
      <c r="P295" s="396">
        <f t="shared" si="89"/>
        <v>1</v>
      </c>
      <c r="Q295" s="394">
        <f>SUM($P$4:P295)/COUNT($P$4:P295)</f>
        <v>0.53767123287671237</v>
      </c>
      <c r="W295" s="396">
        <f t="shared" si="90"/>
        <v>0</v>
      </c>
      <c r="X295" s="394" t="e">
        <f>SUM($W$4:W295)/COUNT($W$4:W295)</f>
        <v>#DIV/0!</v>
      </c>
      <c r="Z295" s="469"/>
    </row>
    <row r="296" spans="1:26" x14ac:dyDescent="0.15">
      <c r="A296" s="384">
        <f t="shared" si="88"/>
        <v>294</v>
      </c>
      <c r="B296" s="401">
        <f t="shared" si="91"/>
        <v>39884</v>
      </c>
      <c r="D296" s="390">
        <v>21372.639999999999</v>
      </c>
      <c r="E296" s="387">
        <v>21372.639999999999</v>
      </c>
      <c r="F296" s="387">
        <f t="shared" si="84"/>
        <v>27.090000000000146</v>
      </c>
      <c r="G296" s="388">
        <f t="shared" si="85"/>
        <v>1.2691169822280912E-3</v>
      </c>
      <c r="H296" s="387">
        <f t="shared" si="81"/>
        <v>-1483.2099999999991</v>
      </c>
      <c r="I296" s="388">
        <f t="shared" si="82"/>
        <v>-6.4894108072987899E-2</v>
      </c>
      <c r="L296" s="369">
        <v>756.5498</v>
      </c>
      <c r="M296" s="394">
        <f t="shared" si="92"/>
        <v>0.10707044396968013</v>
      </c>
      <c r="N296" s="394">
        <f t="shared" si="86"/>
        <v>-0.18657556339239634</v>
      </c>
      <c r="O296" s="395" t="str">
        <f t="shared" si="87"/>
        <v>No</v>
      </c>
      <c r="P296" s="396">
        <f t="shared" si="89"/>
        <v>0</v>
      </c>
      <c r="Q296" s="394">
        <f>SUM($P$4:P296)/COUNT($P$4:P296)</f>
        <v>0.53583617747440271</v>
      </c>
      <c r="W296" s="396">
        <f t="shared" si="90"/>
        <v>0</v>
      </c>
      <c r="X296" s="394" t="e">
        <f>SUM($W$4:W296)/COUNT($W$4:W296)</f>
        <v>#DIV/0!</v>
      </c>
      <c r="Z296" s="469"/>
    </row>
    <row r="297" spans="1:26" x14ac:dyDescent="0.15">
      <c r="A297" s="384">
        <f t="shared" si="88"/>
        <v>295</v>
      </c>
      <c r="B297" s="401">
        <f t="shared" si="91"/>
        <v>39891</v>
      </c>
      <c r="D297" s="390">
        <v>22311.34</v>
      </c>
      <c r="E297" s="387">
        <v>22311.34</v>
      </c>
      <c r="F297" s="387">
        <f t="shared" si="84"/>
        <v>938.70000000000073</v>
      </c>
      <c r="G297" s="388">
        <f t="shared" si="85"/>
        <v>4.392063872315255E-2</v>
      </c>
      <c r="H297" s="387">
        <f t="shared" ref="H297:H360" si="93">E297-$D$3</f>
        <v>-544.5099999999984</v>
      </c>
      <c r="I297" s="388">
        <f t="shared" ref="I297:I360" si="94">(E297/$D$3)-1</f>
        <v>-2.3823660025770188E-2</v>
      </c>
      <c r="L297" s="369">
        <v>768.53980000000001</v>
      </c>
      <c r="M297" s="394">
        <f t="shared" si="92"/>
        <v>1.5848262731680052E-2</v>
      </c>
      <c r="N297" s="394">
        <f t="shared" si="86"/>
        <v>-0.17368419920867029</v>
      </c>
      <c r="O297" s="395" t="str">
        <f t="shared" si="87"/>
        <v>Yes</v>
      </c>
      <c r="P297" s="396">
        <f t="shared" si="89"/>
        <v>1</v>
      </c>
      <c r="Q297" s="394">
        <f>SUM($P$4:P297)/COUNT($P$4:P297)</f>
        <v>0.5374149659863946</v>
      </c>
      <c r="W297" s="396">
        <f t="shared" si="90"/>
        <v>0</v>
      </c>
      <c r="X297" s="394" t="e">
        <f>SUM($W$4:W297)/COUNT($W$4:W297)</f>
        <v>#DIV/0!</v>
      </c>
      <c r="Z297" s="469"/>
    </row>
    <row r="298" spans="1:26" x14ac:dyDescent="0.15">
      <c r="A298" s="384">
        <f t="shared" si="88"/>
        <v>296</v>
      </c>
      <c r="B298" s="401">
        <f t="shared" si="91"/>
        <v>39898</v>
      </c>
      <c r="D298" s="390">
        <v>23910.400000000001</v>
      </c>
      <c r="E298" s="387">
        <v>23910.400000000001</v>
      </c>
      <c r="F298" s="387">
        <f t="shared" si="84"/>
        <v>1599.0600000000013</v>
      </c>
      <c r="G298" s="388">
        <f t="shared" si="85"/>
        <v>7.1670280673415521E-2</v>
      </c>
      <c r="H298" s="387">
        <f t="shared" si="93"/>
        <v>1054.5500000000029</v>
      </c>
      <c r="I298" s="388">
        <f t="shared" si="94"/>
        <v>4.6139172246930427E-2</v>
      </c>
      <c r="L298" s="369">
        <v>815.93989999999997</v>
      </c>
      <c r="M298" s="394">
        <f t="shared" si="92"/>
        <v>6.1675530662172573E-2</v>
      </c>
      <c r="N298" s="394">
        <f t="shared" si="86"/>
        <v>-0.12272073370032688</v>
      </c>
      <c r="O298" s="395" t="str">
        <f t="shared" si="87"/>
        <v>Yes</v>
      </c>
      <c r="P298" s="396">
        <f t="shared" si="89"/>
        <v>1</v>
      </c>
      <c r="Q298" s="394">
        <f>SUM($P$4:P298)/COUNT($P$4:P298)</f>
        <v>0.53898305084745768</v>
      </c>
      <c r="W298" s="396">
        <f t="shared" si="90"/>
        <v>0</v>
      </c>
      <c r="X298" s="394" t="e">
        <f>SUM($W$4:W298)/COUNT($W$4:W298)</f>
        <v>#DIV/0!</v>
      </c>
      <c r="Z298" s="469"/>
    </row>
    <row r="299" spans="1:26" x14ac:dyDescent="0.15">
      <c r="A299" s="384">
        <f t="shared" si="88"/>
        <v>297</v>
      </c>
      <c r="B299" s="401">
        <f t="shared" si="91"/>
        <v>39905</v>
      </c>
      <c r="D299" s="390">
        <v>22974.080000000002</v>
      </c>
      <c r="E299" s="387">
        <v>22974.080000000002</v>
      </c>
      <c r="F299" s="387">
        <f t="shared" si="84"/>
        <v>-936.31999999999971</v>
      </c>
      <c r="G299" s="388">
        <f t="shared" si="85"/>
        <v>-3.9159528907922847E-2</v>
      </c>
      <c r="H299" s="387">
        <f t="shared" si="93"/>
        <v>118.2300000000032</v>
      </c>
      <c r="I299" s="388">
        <f t="shared" si="94"/>
        <v>5.1728550896161796E-3</v>
      </c>
      <c r="L299" s="369">
        <v>842.5</v>
      </c>
      <c r="M299" s="394">
        <f t="shared" si="92"/>
        <v>3.255153964158386E-2</v>
      </c>
      <c r="N299" s="394">
        <f t="shared" si="86"/>
        <v>-9.4163942886633434E-2</v>
      </c>
      <c r="O299" s="395" t="str">
        <f t="shared" si="87"/>
        <v>No</v>
      </c>
      <c r="P299" s="396">
        <f t="shared" si="89"/>
        <v>0</v>
      </c>
      <c r="Q299" s="394">
        <f>SUM($P$4:P299)/COUNT($P$4:P299)</f>
        <v>0.53716216216216217</v>
      </c>
      <c r="W299" s="396">
        <f t="shared" si="90"/>
        <v>0</v>
      </c>
      <c r="X299" s="394" t="e">
        <f>SUM($W$4:W299)/COUNT($W$4:W299)</f>
        <v>#DIV/0!</v>
      </c>
      <c r="Z299" s="469"/>
    </row>
    <row r="300" spans="1:26" x14ac:dyDescent="0.15">
      <c r="A300" s="384">
        <f t="shared" si="88"/>
        <v>298</v>
      </c>
      <c r="B300" s="401">
        <f t="shared" si="91"/>
        <v>39912</v>
      </c>
      <c r="D300" s="390">
        <v>25554.93</v>
      </c>
      <c r="E300" s="387">
        <v>25554.93</v>
      </c>
      <c r="F300" s="387">
        <f t="shared" si="84"/>
        <v>2580.8499999999985</v>
      </c>
      <c r="G300" s="388">
        <f t="shared" si="85"/>
        <v>0.11233746900855213</v>
      </c>
      <c r="H300" s="387">
        <f t="shared" si="93"/>
        <v>2699.0800000000017</v>
      </c>
      <c r="I300" s="388">
        <f t="shared" si="94"/>
        <v>0.11809142954648388</v>
      </c>
      <c r="L300" s="369">
        <v>856.5598</v>
      </c>
      <c r="M300" s="394">
        <f t="shared" si="92"/>
        <v>1.6688189910979201E-2</v>
      </c>
      <c r="N300" s="394">
        <f t="shared" si="86"/>
        <v>-7.9047178737312929E-2</v>
      </c>
      <c r="O300" s="395" t="str">
        <f t="shared" si="87"/>
        <v>Yes</v>
      </c>
      <c r="P300" s="396">
        <f t="shared" si="89"/>
        <v>1</v>
      </c>
      <c r="Q300" s="394">
        <f>SUM($P$4:P300)/COUNT($P$4:P300)</f>
        <v>0.53872053872053871</v>
      </c>
      <c r="W300" s="396">
        <f t="shared" si="90"/>
        <v>0</v>
      </c>
      <c r="X300" s="394" t="e">
        <f>SUM($W$4:W300)/COUNT($W$4:W300)</f>
        <v>#DIV/0!</v>
      </c>
      <c r="Z300" s="469"/>
    </row>
    <row r="301" spans="1:26" x14ac:dyDescent="0.15">
      <c r="A301" s="384">
        <f t="shared" si="88"/>
        <v>299</v>
      </c>
      <c r="B301" s="401">
        <f t="shared" si="91"/>
        <v>39919</v>
      </c>
      <c r="D301" s="390">
        <v>26045.54</v>
      </c>
      <c r="E301" s="387">
        <v>26045.54</v>
      </c>
      <c r="F301" s="387">
        <f t="shared" si="84"/>
        <v>490.61000000000058</v>
      </c>
      <c r="G301" s="388">
        <f t="shared" si="85"/>
        <v>1.9198252548529693E-2</v>
      </c>
      <c r="H301" s="387">
        <f t="shared" si="93"/>
        <v>3189.6900000000023</v>
      </c>
      <c r="I301" s="388">
        <f t="shared" si="94"/>
        <v>0.13955683118326401</v>
      </c>
      <c r="L301" s="369">
        <v>869.59990000000005</v>
      </c>
      <c r="M301" s="394">
        <f t="shared" si="92"/>
        <v>1.5223805740124607E-2</v>
      </c>
      <c r="N301" s="394">
        <f t="shared" si="86"/>
        <v>-6.5026771890590029E-2</v>
      </c>
      <c r="O301" s="395" t="str">
        <f t="shared" si="87"/>
        <v>Yes</v>
      </c>
      <c r="P301" s="396">
        <f t="shared" si="89"/>
        <v>1</v>
      </c>
      <c r="Q301" s="394">
        <f>SUM($P$4:P301)/COUNT($P$4:P301)</f>
        <v>0.54026845637583898</v>
      </c>
      <c r="W301" s="396">
        <f t="shared" si="90"/>
        <v>0</v>
      </c>
      <c r="X301" s="394" t="e">
        <f>SUM($W$4:W301)/COUNT($W$4:W301)</f>
        <v>#DIV/0!</v>
      </c>
      <c r="Z301" s="469"/>
    </row>
    <row r="302" spans="1:26" x14ac:dyDescent="0.15">
      <c r="A302" s="384">
        <f t="shared" si="88"/>
        <v>300</v>
      </c>
      <c r="B302" s="401">
        <f t="shared" si="91"/>
        <v>39926</v>
      </c>
      <c r="D302" s="390">
        <v>25650.22</v>
      </c>
      <c r="E302" s="387">
        <v>25650.22</v>
      </c>
      <c r="F302" s="387">
        <f t="shared" si="84"/>
        <v>-395.31999999999971</v>
      </c>
      <c r="G302" s="388">
        <f t="shared" si="85"/>
        <v>-1.5178030480458404E-2</v>
      </c>
      <c r="H302" s="387">
        <f t="shared" si="93"/>
        <v>2794.3700000000026</v>
      </c>
      <c r="I302" s="388">
        <f t="shared" si="94"/>
        <v>0.12226060286534968</v>
      </c>
      <c r="L302" s="369">
        <v>866.23</v>
      </c>
      <c r="M302" s="394">
        <f t="shared" si="92"/>
        <v>-3.8752304364341184E-3</v>
      </c>
      <c r="N302" s="394">
        <f t="shared" si="86"/>
        <v>-6.8650008601410684E-2</v>
      </c>
      <c r="O302" s="395" t="str">
        <f t="shared" si="87"/>
        <v>No</v>
      </c>
      <c r="P302" s="396">
        <f t="shared" si="89"/>
        <v>0</v>
      </c>
      <c r="Q302" s="394">
        <f>SUM($P$4:P302)/COUNT($P$4:P302)</f>
        <v>0.53846153846153844</v>
      </c>
      <c r="W302" s="396">
        <f t="shared" si="90"/>
        <v>0</v>
      </c>
      <c r="X302" s="394" t="e">
        <f>SUM($W$4:W302)/COUNT($W$4:W302)</f>
        <v>#DIV/0!</v>
      </c>
      <c r="Z302" s="469"/>
    </row>
    <row r="303" spans="1:26" x14ac:dyDescent="0.15">
      <c r="A303" s="384">
        <f t="shared" si="88"/>
        <v>301</v>
      </c>
      <c r="B303" s="401">
        <f t="shared" si="91"/>
        <v>39933</v>
      </c>
      <c r="D303" s="390">
        <v>26697.82</v>
      </c>
      <c r="E303" s="387">
        <v>26697.82</v>
      </c>
      <c r="F303" s="387">
        <f t="shared" ref="F303:F366" si="95">E303-E302</f>
        <v>1047.5999999999985</v>
      </c>
      <c r="G303" s="388">
        <f t="shared" ref="G303:G366" si="96">(E303/E302)-1</f>
        <v>4.0841754963505172E-2</v>
      </c>
      <c r="H303" s="387">
        <f t="shared" si="93"/>
        <v>3841.9700000000012</v>
      </c>
      <c r="I303" s="388">
        <f t="shared" si="94"/>
        <v>0.16809569541277192</v>
      </c>
      <c r="L303" s="369">
        <v>877.51980000000003</v>
      </c>
      <c r="M303" s="394">
        <f t="shared" si="92"/>
        <v>1.3033259065144298E-2</v>
      </c>
      <c r="N303" s="394">
        <f t="shared" si="86"/>
        <v>-5.6511482883192854E-2</v>
      </c>
      <c r="O303" s="395" t="str">
        <f t="shared" si="87"/>
        <v>Yes</v>
      </c>
      <c r="P303" s="396">
        <f t="shared" si="89"/>
        <v>1</v>
      </c>
      <c r="Q303" s="394">
        <f>SUM($P$4:P303)/COUNT($P$4:P303)</f>
        <v>0.54</v>
      </c>
      <c r="W303" s="396">
        <f t="shared" si="90"/>
        <v>0</v>
      </c>
      <c r="X303" s="394" t="e">
        <f>SUM($W$4:W303)/COUNT($W$4:W303)</f>
        <v>#DIV/0!</v>
      </c>
      <c r="Z303" s="469"/>
    </row>
    <row r="304" spans="1:26" x14ac:dyDescent="0.15">
      <c r="A304" s="384">
        <f t="shared" si="88"/>
        <v>302</v>
      </c>
      <c r="B304" s="401">
        <f t="shared" si="91"/>
        <v>39940</v>
      </c>
      <c r="D304" s="390">
        <v>27393.79</v>
      </c>
      <c r="E304" s="387">
        <v>27393.79</v>
      </c>
      <c r="F304" s="387">
        <f t="shared" si="95"/>
        <v>695.97000000000116</v>
      </c>
      <c r="G304" s="388">
        <f t="shared" si="96"/>
        <v>2.606842056767178E-2</v>
      </c>
      <c r="H304" s="387">
        <f t="shared" si="93"/>
        <v>4537.9400000000023</v>
      </c>
      <c r="I304" s="388">
        <f t="shared" si="94"/>
        <v>0.19854610526407912</v>
      </c>
      <c r="L304" s="369">
        <v>929.23</v>
      </c>
      <c r="M304" s="394">
        <f t="shared" si="92"/>
        <v>5.8927673198940989E-2</v>
      </c>
      <c r="N304" s="394">
        <f t="shared" si="86"/>
        <v>-9.1389987958023777E-4</v>
      </c>
      <c r="O304" s="395" t="str">
        <f t="shared" si="87"/>
        <v>No</v>
      </c>
      <c r="P304" s="396">
        <f t="shared" si="89"/>
        <v>0</v>
      </c>
      <c r="Q304" s="394">
        <f>SUM($P$4:P304)/COUNT($P$4:P304)</f>
        <v>0.53820598006644516</v>
      </c>
      <c r="W304" s="396">
        <f t="shared" si="90"/>
        <v>0</v>
      </c>
      <c r="X304" s="394" t="e">
        <f>SUM($W$4:W304)/COUNT($W$4:W304)</f>
        <v>#DIV/0!</v>
      </c>
      <c r="Z304" s="469"/>
    </row>
    <row r="305" spans="1:26" x14ac:dyDescent="0.15">
      <c r="A305" s="384">
        <f t="shared" si="88"/>
        <v>303</v>
      </c>
      <c r="B305" s="401">
        <f t="shared" si="91"/>
        <v>39947</v>
      </c>
      <c r="D305" s="390">
        <v>26900.745000000003</v>
      </c>
      <c r="E305" s="387">
        <v>26900.745000000003</v>
      </c>
      <c r="F305" s="387">
        <f t="shared" si="95"/>
        <v>-493.04499999999825</v>
      </c>
      <c r="G305" s="388">
        <f t="shared" si="96"/>
        <v>-1.79984222701568E-2</v>
      </c>
      <c r="H305" s="387">
        <f t="shared" si="93"/>
        <v>4044.8950000000041</v>
      </c>
      <c r="I305" s="388">
        <f t="shared" si="94"/>
        <v>0.17697416635128449</v>
      </c>
      <c r="L305" s="369">
        <v>882.87990000000002</v>
      </c>
      <c r="M305" s="394">
        <f t="shared" si="92"/>
        <v>-4.9880115794797786E-2</v>
      </c>
      <c r="N305" s="394">
        <f t="shared" si="86"/>
        <v>-5.0748430242559817E-2</v>
      </c>
      <c r="O305" s="395" t="str">
        <f t="shared" si="87"/>
        <v>Yes</v>
      </c>
      <c r="P305" s="396">
        <f t="shared" si="89"/>
        <v>1</v>
      </c>
      <c r="Q305" s="394">
        <f>SUM($P$4:P305)/COUNT($P$4:P305)</f>
        <v>0.53973509933774833</v>
      </c>
      <c r="W305" s="396">
        <f t="shared" si="90"/>
        <v>0</v>
      </c>
      <c r="X305" s="394" t="e">
        <f>SUM($W$4:W305)/COUNT($W$4:W305)</f>
        <v>#DIV/0!</v>
      </c>
      <c r="Z305" s="469"/>
    </row>
    <row r="306" spans="1:26" x14ac:dyDescent="0.15">
      <c r="A306" s="384">
        <f t="shared" si="88"/>
        <v>304</v>
      </c>
      <c r="B306" s="401">
        <f t="shared" si="91"/>
        <v>39954</v>
      </c>
      <c r="D306" s="390">
        <v>27277.64</v>
      </c>
      <c r="E306" s="387">
        <v>27277.64</v>
      </c>
      <c r="F306" s="387">
        <f t="shared" si="95"/>
        <v>376.8949999999968</v>
      </c>
      <c r="G306" s="388">
        <f t="shared" si="96"/>
        <v>1.4010578517434924E-2</v>
      </c>
      <c r="H306" s="387">
        <f t="shared" si="93"/>
        <v>4421.7900000000009</v>
      </c>
      <c r="I306" s="388">
        <f t="shared" si="94"/>
        <v>0.19346425532194167</v>
      </c>
      <c r="L306" s="369">
        <v>887</v>
      </c>
      <c r="M306" s="394">
        <f t="shared" si="92"/>
        <v>4.6666596441939934E-3</v>
      </c>
      <c r="N306" s="394">
        <f t="shared" si="86"/>
        <v>-4.631859624978496E-2</v>
      </c>
      <c r="O306" s="395" t="str">
        <f t="shared" si="87"/>
        <v>Yes</v>
      </c>
      <c r="P306" s="396">
        <f t="shared" si="89"/>
        <v>1</v>
      </c>
      <c r="Q306" s="394">
        <f>SUM($P$4:P306)/COUNT($P$4:P306)</f>
        <v>0.54125412541254125</v>
      </c>
      <c r="W306" s="396">
        <f t="shared" si="90"/>
        <v>0</v>
      </c>
      <c r="X306" s="394" t="e">
        <f>SUM($W$4:W306)/COUNT($W$4:W306)</f>
        <v>#DIV/0!</v>
      </c>
      <c r="Z306" s="469"/>
    </row>
    <row r="307" spans="1:26" x14ac:dyDescent="0.15">
      <c r="A307" s="384">
        <f t="shared" si="88"/>
        <v>305</v>
      </c>
      <c r="B307" s="401">
        <f t="shared" si="91"/>
        <v>39961</v>
      </c>
      <c r="D307" s="390">
        <v>27585.62</v>
      </c>
      <c r="E307" s="387">
        <v>27585.62</v>
      </c>
      <c r="F307" s="387">
        <f t="shared" si="95"/>
        <v>307.97999999999956</v>
      </c>
      <c r="G307" s="388">
        <f t="shared" si="96"/>
        <v>1.1290566192676543E-2</v>
      </c>
      <c r="H307" s="387">
        <f t="shared" si="93"/>
        <v>4729.7700000000004</v>
      </c>
      <c r="I307" s="388">
        <f t="shared" si="94"/>
        <v>0.20693914249524736</v>
      </c>
      <c r="L307" s="369">
        <v>919.13990000000001</v>
      </c>
      <c r="M307" s="394">
        <f t="shared" si="92"/>
        <v>3.6234385569334782E-2</v>
      </c>
      <c r="N307" s="394">
        <f t="shared" si="86"/>
        <v>-1.176253655599524E-2</v>
      </c>
      <c r="O307" s="395" t="str">
        <f t="shared" si="87"/>
        <v>No</v>
      </c>
      <c r="P307" s="396">
        <f t="shared" si="89"/>
        <v>0</v>
      </c>
      <c r="Q307" s="394">
        <f>SUM($P$4:P307)/COUNT($P$4:P307)</f>
        <v>0.53947368421052633</v>
      </c>
      <c r="W307" s="396">
        <f t="shared" si="90"/>
        <v>0</v>
      </c>
      <c r="X307" s="394" t="e">
        <f>SUM($W$4:W307)/COUNT($W$4:W307)</f>
        <v>#DIV/0!</v>
      </c>
      <c r="Z307" s="469"/>
    </row>
    <row r="308" spans="1:26" x14ac:dyDescent="0.15">
      <c r="A308" s="384">
        <f t="shared" si="88"/>
        <v>306</v>
      </c>
      <c r="B308" s="401">
        <f t="shared" si="91"/>
        <v>39968</v>
      </c>
      <c r="D308" s="390">
        <v>28232.87</v>
      </c>
      <c r="E308" s="387">
        <v>28232.87</v>
      </c>
      <c r="F308" s="387">
        <f t="shared" si="95"/>
        <v>647.25</v>
      </c>
      <c r="G308" s="388">
        <f t="shared" si="96"/>
        <v>2.3463311681956034E-2</v>
      </c>
      <c r="H308" s="387">
        <f t="shared" si="93"/>
        <v>5377.02</v>
      </c>
      <c r="I308" s="388">
        <f t="shared" si="94"/>
        <v>0.23525793177676624</v>
      </c>
      <c r="L308" s="369">
        <v>940.08979999999997</v>
      </c>
      <c r="M308" s="394">
        <f t="shared" si="92"/>
        <v>2.2792939355586572E-2</v>
      </c>
      <c r="N308" s="394">
        <f t="shared" si="86"/>
        <v>1.0762300017202797E-2</v>
      </c>
      <c r="O308" s="395" t="str">
        <f t="shared" si="87"/>
        <v>Yes</v>
      </c>
      <c r="P308" s="396">
        <f t="shared" si="89"/>
        <v>1</v>
      </c>
      <c r="Q308" s="394">
        <f>SUM($P$4:P308)/COUNT($P$4:P308)</f>
        <v>0.54098360655737709</v>
      </c>
      <c r="W308" s="396">
        <f t="shared" si="90"/>
        <v>0</v>
      </c>
      <c r="X308" s="394" t="e">
        <f>SUM($W$4:W308)/COUNT($W$4:W308)</f>
        <v>#DIV/0!</v>
      </c>
      <c r="Z308" s="469"/>
    </row>
    <row r="309" spans="1:26" x14ac:dyDescent="0.15">
      <c r="A309" s="384">
        <f t="shared" si="88"/>
        <v>307</v>
      </c>
      <c r="B309" s="401">
        <f t="shared" si="91"/>
        <v>39975</v>
      </c>
      <c r="D309" s="390">
        <v>30020.61</v>
      </c>
      <c r="E309" s="387">
        <v>30020.61</v>
      </c>
      <c r="F309" s="387">
        <f t="shared" si="95"/>
        <v>1787.7400000000016</v>
      </c>
      <c r="G309" s="388">
        <f t="shared" si="96"/>
        <v>6.3321228057934054E-2</v>
      </c>
      <c r="H309" s="387">
        <f t="shared" si="93"/>
        <v>7164.760000000002</v>
      </c>
      <c r="I309" s="388">
        <f t="shared" si="94"/>
        <v>0.3134759809851746</v>
      </c>
      <c r="L309" s="369">
        <v>946.21</v>
      </c>
      <c r="M309" s="394">
        <f t="shared" si="92"/>
        <v>6.5102291291747605E-3</v>
      </c>
      <c r="N309" s="394">
        <f t="shared" si="86"/>
        <v>1.7342594185446369E-2</v>
      </c>
      <c r="O309" s="395" t="str">
        <f t="shared" si="87"/>
        <v>Yes</v>
      </c>
      <c r="P309" s="396">
        <f t="shared" si="89"/>
        <v>1</v>
      </c>
      <c r="Q309" s="394">
        <f>SUM($P$4:P309)/COUNT($P$4:P309)</f>
        <v>0.54248366013071891</v>
      </c>
      <c r="W309" s="396">
        <f t="shared" si="90"/>
        <v>0</v>
      </c>
      <c r="X309" s="394" t="e">
        <f>SUM($W$4:W309)/COUNT($W$4:W309)</f>
        <v>#DIV/0!</v>
      </c>
      <c r="Z309" s="469"/>
    </row>
    <row r="310" spans="1:26" x14ac:dyDescent="0.15">
      <c r="A310" s="384">
        <f t="shared" si="88"/>
        <v>308</v>
      </c>
      <c r="B310" s="401">
        <f t="shared" si="91"/>
        <v>39982</v>
      </c>
      <c r="D310" s="390">
        <v>28299.49</v>
      </c>
      <c r="E310" s="387">
        <v>28299.49</v>
      </c>
      <c r="F310" s="387">
        <f t="shared" si="95"/>
        <v>-1721.119999999999</v>
      </c>
      <c r="G310" s="388">
        <f t="shared" si="96"/>
        <v>-5.7331280077253521E-2</v>
      </c>
      <c r="H310" s="387">
        <f t="shared" si="93"/>
        <v>5443.6400000000031</v>
      </c>
      <c r="I310" s="388">
        <f t="shared" si="94"/>
        <v>0.23817272164456815</v>
      </c>
      <c r="L310" s="369">
        <v>921.23</v>
      </c>
      <c r="M310" s="394">
        <f t="shared" si="92"/>
        <v>-2.6400059183479319E-2</v>
      </c>
      <c r="N310" s="394">
        <f t="shared" si="86"/>
        <v>-9.5153105109238023E-3</v>
      </c>
      <c r="O310" s="395" t="str">
        <f t="shared" si="87"/>
        <v>No</v>
      </c>
      <c r="P310" s="396">
        <f t="shared" si="89"/>
        <v>0</v>
      </c>
      <c r="Q310" s="394">
        <f>SUM($P$4:P310)/COUNT($P$4:P310)</f>
        <v>0.54071661237785018</v>
      </c>
      <c r="W310" s="396">
        <f t="shared" si="90"/>
        <v>0</v>
      </c>
      <c r="X310" s="394" t="e">
        <f>SUM($W$4:W310)/COUNT($W$4:W310)</f>
        <v>#DIV/0!</v>
      </c>
      <c r="Z310" s="469"/>
    </row>
    <row r="311" spans="1:26" x14ac:dyDescent="0.15">
      <c r="A311" s="384">
        <f t="shared" si="88"/>
        <v>309</v>
      </c>
      <c r="B311" s="401">
        <f t="shared" si="91"/>
        <v>39989</v>
      </c>
      <c r="D311" s="390">
        <v>28207.85</v>
      </c>
      <c r="E311" s="387">
        <v>28207.85</v>
      </c>
      <c r="F311" s="387">
        <f t="shared" si="95"/>
        <v>-91.640000000003056</v>
      </c>
      <c r="G311" s="388">
        <f t="shared" si="96"/>
        <v>-3.2382209008008367E-3</v>
      </c>
      <c r="H311" s="387">
        <f t="shared" si="93"/>
        <v>5352</v>
      </c>
      <c r="I311" s="388">
        <f t="shared" si="94"/>
        <v>0.23416324485853734</v>
      </c>
      <c r="L311" s="369">
        <v>918.8999</v>
      </c>
      <c r="M311" s="394">
        <f t="shared" si="92"/>
        <v>-2.5293357793385596E-3</v>
      </c>
      <c r="N311" s="394">
        <f t="shared" si="86"/>
        <v>-1.2020578874935572E-2</v>
      </c>
      <c r="O311" s="395" t="str">
        <f t="shared" si="87"/>
        <v>No</v>
      </c>
      <c r="P311" s="396">
        <f t="shared" si="89"/>
        <v>0</v>
      </c>
      <c r="Q311" s="394">
        <f>SUM($P$4:P311)/COUNT($P$4:P311)</f>
        <v>0.53896103896103897</v>
      </c>
      <c r="W311" s="396">
        <f t="shared" si="90"/>
        <v>0</v>
      </c>
      <c r="X311" s="394" t="e">
        <f>SUM($W$4:W311)/COUNT($W$4:W311)</f>
        <v>#DIV/0!</v>
      </c>
      <c r="Z311" s="469"/>
    </row>
    <row r="312" spans="1:26" x14ac:dyDescent="0.15">
      <c r="A312" s="384">
        <f t="shared" si="88"/>
        <v>310</v>
      </c>
      <c r="B312" s="401">
        <f t="shared" si="91"/>
        <v>39996</v>
      </c>
      <c r="D312" s="390">
        <v>28313.53</v>
      </c>
      <c r="E312" s="387">
        <v>28313.53</v>
      </c>
      <c r="F312" s="387">
        <f t="shared" si="95"/>
        <v>105.68000000000029</v>
      </c>
      <c r="G312" s="388">
        <f t="shared" si="96"/>
        <v>3.7464748288154048E-3</v>
      </c>
      <c r="H312" s="387">
        <f t="shared" si="93"/>
        <v>5457.68</v>
      </c>
      <c r="I312" s="388">
        <f t="shared" si="94"/>
        <v>0.23878700639004902</v>
      </c>
      <c r="L312" s="369">
        <v>896.41989999999998</v>
      </c>
      <c r="M312" s="394">
        <f t="shared" si="92"/>
        <v>-2.4464035745351609E-2</v>
      </c>
      <c r="N312" s="394">
        <f t="shared" si="86"/>
        <v>-3.6190542749010901E-2</v>
      </c>
      <c r="O312" s="395" t="str">
        <f t="shared" si="87"/>
        <v>Yes</v>
      </c>
      <c r="P312" s="396">
        <f t="shared" si="89"/>
        <v>1</v>
      </c>
      <c r="Q312" s="394">
        <f>SUM($P$4:P312)/COUNT($P$4:P312)</f>
        <v>0.54045307443365698</v>
      </c>
      <c r="W312" s="396">
        <f t="shared" si="90"/>
        <v>0</v>
      </c>
      <c r="X312" s="394" t="e">
        <f>SUM($W$4:W312)/COUNT($W$4:W312)</f>
        <v>#DIV/0!</v>
      </c>
      <c r="Z312" s="469"/>
    </row>
    <row r="313" spans="1:26" x14ac:dyDescent="0.15">
      <c r="A313" s="384">
        <f t="shared" si="88"/>
        <v>311</v>
      </c>
      <c r="B313" s="401">
        <f t="shared" si="91"/>
        <v>40003</v>
      </c>
      <c r="D313" s="390">
        <v>26996</v>
      </c>
      <c r="E313" s="387">
        <v>26996</v>
      </c>
      <c r="F313" s="387">
        <f t="shared" si="95"/>
        <v>-1317.5299999999988</v>
      </c>
      <c r="G313" s="388">
        <f t="shared" si="96"/>
        <v>-4.6533583060819339E-2</v>
      </c>
      <c r="H313" s="387">
        <f t="shared" si="93"/>
        <v>4140.1500000000015</v>
      </c>
      <c r="I313" s="388">
        <f t="shared" si="94"/>
        <v>0.18114180833353388</v>
      </c>
      <c r="L313" s="369">
        <v>879.12990000000002</v>
      </c>
      <c r="M313" s="394">
        <f t="shared" si="92"/>
        <v>-1.9287835979544865E-2</v>
      </c>
      <c r="N313" s="394">
        <f t="shared" si="86"/>
        <v>-5.4780341476002081E-2</v>
      </c>
      <c r="O313" s="395" t="str">
        <f t="shared" si="87"/>
        <v>No</v>
      </c>
      <c r="P313" s="396">
        <f t="shared" si="89"/>
        <v>0</v>
      </c>
      <c r="Q313" s="394">
        <f>SUM($P$4:P313)/COUNT($P$4:P313)</f>
        <v>0.53870967741935483</v>
      </c>
      <c r="W313" s="396">
        <f t="shared" si="90"/>
        <v>0</v>
      </c>
      <c r="X313" s="394" t="e">
        <f>SUM($W$4:W313)/COUNT($W$4:W313)</f>
        <v>#DIV/0!</v>
      </c>
      <c r="Z313" s="469"/>
    </row>
    <row r="314" spans="1:26" x14ac:dyDescent="0.15">
      <c r="A314" s="384">
        <f t="shared" si="88"/>
        <v>312</v>
      </c>
      <c r="B314" s="401">
        <f t="shared" si="91"/>
        <v>40010</v>
      </c>
      <c r="D314" s="390">
        <v>28677.91</v>
      </c>
      <c r="E314" s="387">
        <v>28677.91</v>
      </c>
      <c r="F314" s="387">
        <f t="shared" si="95"/>
        <v>1681.9099999999999</v>
      </c>
      <c r="G314" s="388">
        <f t="shared" si="96"/>
        <v>6.230219291746919E-2</v>
      </c>
      <c r="H314" s="387">
        <f t="shared" si="93"/>
        <v>5822.0600000000013</v>
      </c>
      <c r="I314" s="388">
        <f t="shared" si="94"/>
        <v>0.25472953313921831</v>
      </c>
      <c r="L314" s="369">
        <v>940.37990000000002</v>
      </c>
      <c r="M314" s="394">
        <f t="shared" si="92"/>
        <v>6.9671160086808515E-2</v>
      </c>
      <c r="N314" s="394">
        <f t="shared" si="86"/>
        <v>1.1074208670221797E-2</v>
      </c>
      <c r="O314" s="395" t="str">
        <f t="shared" si="87"/>
        <v>No</v>
      </c>
      <c r="P314" s="396">
        <f t="shared" si="89"/>
        <v>0</v>
      </c>
      <c r="Q314" s="394">
        <f>SUM($P$4:P314)/COUNT($P$4:P314)</f>
        <v>0.53697749196141475</v>
      </c>
      <c r="W314" s="396">
        <f t="shared" si="90"/>
        <v>0</v>
      </c>
      <c r="X314" s="394" t="e">
        <f>SUM($W$4:W314)/COUNT($W$4:W314)</f>
        <v>#DIV/0!</v>
      </c>
      <c r="Z314" s="469"/>
    </row>
    <row r="315" spans="1:26" x14ac:dyDescent="0.15">
      <c r="A315" s="384">
        <f t="shared" si="88"/>
        <v>313</v>
      </c>
      <c r="B315" s="401">
        <f t="shared" si="91"/>
        <v>40017</v>
      </c>
      <c r="D315" s="390">
        <v>29702.58</v>
      </c>
      <c r="E315" s="387">
        <v>29702.58</v>
      </c>
      <c r="F315" s="387">
        <f t="shared" si="95"/>
        <v>1024.6700000000019</v>
      </c>
      <c r="G315" s="388">
        <f t="shared" si="96"/>
        <v>3.5730288574028046E-2</v>
      </c>
      <c r="H315" s="387">
        <f t="shared" si="93"/>
        <v>6846.7300000000032</v>
      </c>
      <c r="I315" s="388">
        <f t="shared" si="94"/>
        <v>0.29956138144063793</v>
      </c>
      <c r="L315" s="369">
        <v>979.25980000000004</v>
      </c>
      <c r="M315" s="394">
        <f t="shared" si="92"/>
        <v>4.1344886252885793E-2</v>
      </c>
      <c r="N315" s="394">
        <f t="shared" si="86"/>
        <v>5.2876956820918641E-2</v>
      </c>
      <c r="O315" s="395" t="str">
        <f t="shared" si="87"/>
        <v>No</v>
      </c>
      <c r="P315" s="396">
        <f t="shared" si="89"/>
        <v>0</v>
      </c>
      <c r="Q315" s="394">
        <f>SUM($P$4:P315)/COUNT($P$4:P315)</f>
        <v>0.53525641025641024</v>
      </c>
      <c r="W315" s="396">
        <f t="shared" si="90"/>
        <v>0</v>
      </c>
      <c r="X315" s="394" t="e">
        <f>SUM($W$4:W315)/COUNT($W$4:W315)</f>
        <v>#DIV/0!</v>
      </c>
      <c r="Z315" s="469"/>
    </row>
    <row r="316" spans="1:26" x14ac:dyDescent="0.15">
      <c r="A316" s="384">
        <f t="shared" si="88"/>
        <v>314</v>
      </c>
      <c r="B316" s="401">
        <f t="shared" si="91"/>
        <v>40024</v>
      </c>
      <c r="D316" s="390">
        <v>29917.360000000001</v>
      </c>
      <c r="E316" s="387">
        <v>29917.360000000001</v>
      </c>
      <c r="F316" s="387">
        <f t="shared" si="95"/>
        <v>214.77999999999884</v>
      </c>
      <c r="G316" s="388">
        <f t="shared" si="96"/>
        <v>7.2310216822915052E-3</v>
      </c>
      <c r="H316" s="387">
        <f t="shared" si="93"/>
        <v>7061.510000000002</v>
      </c>
      <c r="I316" s="388">
        <f t="shared" si="94"/>
        <v>0.30895853796730388</v>
      </c>
      <c r="L316" s="369">
        <v>987.48</v>
      </c>
      <c r="M316" s="394">
        <f t="shared" si="92"/>
        <v>8.3942994494412559E-3</v>
      </c>
      <c r="N316" s="394">
        <f t="shared" si="86"/>
        <v>6.1715121279889873E-2</v>
      </c>
      <c r="O316" s="395" t="str">
        <f t="shared" si="87"/>
        <v>No</v>
      </c>
      <c r="P316" s="396">
        <f t="shared" si="89"/>
        <v>0</v>
      </c>
      <c r="Q316" s="394">
        <f>SUM($P$4:P316)/COUNT($P$4:P316)</f>
        <v>0.5335463258785943</v>
      </c>
      <c r="W316" s="396">
        <f t="shared" si="90"/>
        <v>0</v>
      </c>
      <c r="X316" s="394" t="e">
        <f>SUM($W$4:W316)/COUNT($W$4:W316)</f>
        <v>#DIV/0!</v>
      </c>
      <c r="Z316" s="469"/>
    </row>
    <row r="317" spans="1:26" x14ac:dyDescent="0.15">
      <c r="A317" s="384">
        <f t="shared" si="88"/>
        <v>315</v>
      </c>
      <c r="B317" s="401">
        <f t="shared" si="91"/>
        <v>40031</v>
      </c>
      <c r="D317" s="390">
        <v>30051.040000000001</v>
      </c>
      <c r="E317" s="387">
        <v>30051.040000000001</v>
      </c>
      <c r="F317" s="387">
        <f t="shared" si="95"/>
        <v>133.68000000000029</v>
      </c>
      <c r="G317" s="388">
        <f t="shared" si="96"/>
        <v>4.4683087010350953E-3</v>
      </c>
      <c r="H317" s="387">
        <f t="shared" si="93"/>
        <v>7195.1900000000023</v>
      </c>
      <c r="I317" s="388">
        <f t="shared" si="94"/>
        <v>0.31480736879179738</v>
      </c>
      <c r="L317" s="369">
        <v>1010.48</v>
      </c>
      <c r="M317" s="394">
        <f t="shared" si="92"/>
        <v>2.3291610969336185E-2</v>
      </c>
      <c r="N317" s="394">
        <f t="shared" si="86"/>
        <v>8.6444176845002607E-2</v>
      </c>
      <c r="O317" s="395" t="str">
        <f t="shared" si="87"/>
        <v>No</v>
      </c>
      <c r="P317" s="396">
        <f t="shared" si="89"/>
        <v>0</v>
      </c>
      <c r="Q317" s="394">
        <f>SUM($P$4:P317)/COUNT($P$4:P317)</f>
        <v>0.53184713375796178</v>
      </c>
      <c r="W317" s="396">
        <f t="shared" si="90"/>
        <v>0</v>
      </c>
      <c r="X317" s="394" t="e">
        <f>SUM($W$4:W317)/COUNT($W$4:W317)</f>
        <v>#DIV/0!</v>
      </c>
      <c r="Z317" s="469"/>
    </row>
    <row r="318" spans="1:26" x14ac:dyDescent="0.15">
      <c r="A318" s="384">
        <f t="shared" si="88"/>
        <v>316</v>
      </c>
      <c r="B318" s="401">
        <f t="shared" si="91"/>
        <v>40038</v>
      </c>
      <c r="D318" s="390">
        <v>30831.17</v>
      </c>
      <c r="E318" s="387">
        <v>30831.17</v>
      </c>
      <c r="F318" s="387">
        <f t="shared" si="95"/>
        <v>780.12999999999738</v>
      </c>
      <c r="G318" s="388">
        <f t="shared" si="96"/>
        <v>2.5960166436835408E-2</v>
      </c>
      <c r="H318" s="387">
        <f t="shared" si="93"/>
        <v>7975.32</v>
      </c>
      <c r="I318" s="388">
        <f t="shared" si="94"/>
        <v>0.34893998691801009</v>
      </c>
      <c r="L318" s="369">
        <v>1004.0898</v>
      </c>
      <c r="M318" s="394">
        <f t="shared" si="92"/>
        <v>-6.3239252632413256E-3</v>
      </c>
      <c r="N318" s="394">
        <f t="shared" si="86"/>
        <v>7.9573585067951091E-2</v>
      </c>
      <c r="O318" s="395" t="str">
        <f t="shared" si="87"/>
        <v>Yes</v>
      </c>
      <c r="P318" s="396">
        <f t="shared" si="89"/>
        <v>1</v>
      </c>
      <c r="Q318" s="394">
        <f>SUM($P$4:P318)/COUNT($P$4:P318)</f>
        <v>0.53333333333333333</v>
      </c>
      <c r="W318" s="396">
        <f t="shared" si="90"/>
        <v>0</v>
      </c>
      <c r="X318" s="394" t="e">
        <f>SUM($W$4:W318)/COUNT($W$4:W318)</f>
        <v>#DIV/0!</v>
      </c>
      <c r="Z318" s="469"/>
    </row>
    <row r="319" spans="1:26" x14ac:dyDescent="0.15">
      <c r="A319" s="384">
        <f t="shared" si="88"/>
        <v>317</v>
      </c>
      <c r="B319" s="401">
        <f t="shared" si="91"/>
        <v>40045</v>
      </c>
      <c r="D319" s="390">
        <v>30445.3613</v>
      </c>
      <c r="E319" s="387">
        <v>30445.3613</v>
      </c>
      <c r="F319" s="387">
        <f t="shared" si="95"/>
        <v>-385.80869999999777</v>
      </c>
      <c r="G319" s="388">
        <f t="shared" si="96"/>
        <v>-1.2513592575306043E-2</v>
      </c>
      <c r="H319" s="387">
        <f t="shared" si="93"/>
        <v>7589.5113000000019</v>
      </c>
      <c r="I319" s="388">
        <f t="shared" si="94"/>
        <v>0.33205990151317955</v>
      </c>
      <c r="L319" s="369">
        <v>1026.1298999999999</v>
      </c>
      <c r="M319" s="394">
        <f t="shared" si="92"/>
        <v>2.1950327550384285E-2</v>
      </c>
      <c r="N319" s="394">
        <f t="shared" si="86"/>
        <v>0.10327057887493529</v>
      </c>
      <c r="O319" s="395" t="str">
        <f t="shared" si="87"/>
        <v>No</v>
      </c>
      <c r="P319" s="396">
        <f t="shared" si="89"/>
        <v>0</v>
      </c>
      <c r="Q319" s="394">
        <f>SUM($P$4:P319)/COUNT($P$4:P319)</f>
        <v>0.53164556962025311</v>
      </c>
      <c r="W319" s="396">
        <f t="shared" si="90"/>
        <v>0</v>
      </c>
      <c r="X319" s="394" t="e">
        <f>SUM($W$4:W319)/COUNT($W$4:W319)</f>
        <v>#DIV/0!</v>
      </c>
      <c r="Z319" s="469"/>
    </row>
    <row r="320" spans="1:26" x14ac:dyDescent="0.15">
      <c r="A320" s="384">
        <f t="shared" si="88"/>
        <v>318</v>
      </c>
      <c r="B320" s="401">
        <f t="shared" si="91"/>
        <v>40052</v>
      </c>
      <c r="D320" s="390">
        <v>30705.94</v>
      </c>
      <c r="E320" s="387">
        <v>30705.94</v>
      </c>
      <c r="F320" s="387">
        <f t="shared" si="95"/>
        <v>260.57869999999821</v>
      </c>
      <c r="G320" s="388">
        <f t="shared" si="96"/>
        <v>8.5588966224552365E-3</v>
      </c>
      <c r="H320" s="387">
        <f t="shared" si="93"/>
        <v>7850.09</v>
      </c>
      <c r="I320" s="388">
        <f t="shared" si="94"/>
        <v>0.34346086450514868</v>
      </c>
      <c r="L320" s="369">
        <v>1028.9299000000001</v>
      </c>
      <c r="M320" s="394">
        <f t="shared" si="92"/>
        <v>2.728699358629072E-3</v>
      </c>
      <c r="N320" s="394">
        <f t="shared" si="86"/>
        <v>0.1062810725959058</v>
      </c>
      <c r="O320" s="395" t="str">
        <f t="shared" si="87"/>
        <v>Yes</v>
      </c>
      <c r="P320" s="396">
        <f t="shared" si="89"/>
        <v>1</v>
      </c>
      <c r="Q320" s="394">
        <f>SUM($P$4:P320)/COUNT($P$4:P320)</f>
        <v>0.53312302839116721</v>
      </c>
      <c r="W320" s="396">
        <f t="shared" si="90"/>
        <v>0</v>
      </c>
      <c r="X320" s="394" t="e">
        <f>SUM($W$4:W320)/COUNT($W$4:W320)</f>
        <v>#DIV/0!</v>
      </c>
      <c r="Z320" s="469"/>
    </row>
    <row r="321" spans="1:26" x14ac:dyDescent="0.15">
      <c r="A321" s="384">
        <f t="shared" si="88"/>
        <v>319</v>
      </c>
      <c r="B321" s="401">
        <f t="shared" si="91"/>
        <v>40059</v>
      </c>
      <c r="D321" s="390">
        <v>30696.06</v>
      </c>
      <c r="E321" s="387">
        <v>30696.06</v>
      </c>
      <c r="F321" s="387">
        <f t="shared" si="95"/>
        <v>-9.8799999999973807</v>
      </c>
      <c r="G321" s="388">
        <f t="shared" si="96"/>
        <v>-3.2176184803323071E-4</v>
      </c>
      <c r="H321" s="387">
        <f t="shared" si="93"/>
        <v>7840.2100000000028</v>
      </c>
      <c r="I321" s="388">
        <f t="shared" si="94"/>
        <v>0.34302859005462505</v>
      </c>
      <c r="L321" s="369">
        <v>1016.3999</v>
      </c>
      <c r="M321" s="394">
        <f t="shared" si="92"/>
        <v>-1.2177700346738929E-2</v>
      </c>
      <c r="N321" s="394">
        <f t="shared" si="86"/>
        <v>9.2809113194563864E-2</v>
      </c>
      <c r="O321" s="395" t="str">
        <f t="shared" si="87"/>
        <v>Yes</v>
      </c>
      <c r="P321" s="396">
        <f t="shared" si="89"/>
        <v>1</v>
      </c>
      <c r="Q321" s="394">
        <f>SUM($P$4:P321)/COUNT($P$4:P321)</f>
        <v>0.53459119496855345</v>
      </c>
      <c r="W321" s="396">
        <f t="shared" si="90"/>
        <v>0</v>
      </c>
      <c r="X321" s="394" t="e">
        <f>SUM($W$4:W321)/COUNT($W$4:W321)</f>
        <v>#DIV/0!</v>
      </c>
      <c r="Z321" s="469"/>
    </row>
    <row r="322" spans="1:26" x14ac:dyDescent="0.15">
      <c r="A322" s="384">
        <f t="shared" si="88"/>
        <v>320</v>
      </c>
      <c r="B322" s="401">
        <f t="shared" si="91"/>
        <v>40066</v>
      </c>
      <c r="D322" s="390">
        <v>31817.5</v>
      </c>
      <c r="E322" s="387">
        <v>31817.5</v>
      </c>
      <c r="F322" s="387">
        <f t="shared" si="95"/>
        <v>1121.4399999999987</v>
      </c>
      <c r="G322" s="388">
        <f t="shared" si="96"/>
        <v>3.653367891514403E-2</v>
      </c>
      <c r="H322" s="387">
        <f t="shared" si="93"/>
        <v>8961.6500000000015</v>
      </c>
      <c r="I322" s="388">
        <f t="shared" si="94"/>
        <v>0.3920943653375395</v>
      </c>
      <c r="L322" s="369">
        <v>1042.73</v>
      </c>
      <c r="M322" s="394">
        <f t="shared" si="92"/>
        <v>2.5905256385798658E-2</v>
      </c>
      <c r="N322" s="394">
        <f t="shared" si="86"/>
        <v>0.12111861345260611</v>
      </c>
      <c r="O322" s="395" t="str">
        <f t="shared" si="87"/>
        <v>Yes</v>
      </c>
      <c r="P322" s="396">
        <f t="shared" si="89"/>
        <v>1</v>
      </c>
      <c r="Q322" s="394">
        <f>SUM($P$4:P322)/COUNT($P$4:P322)</f>
        <v>0.53605015673981193</v>
      </c>
      <c r="W322" s="396">
        <f t="shared" si="90"/>
        <v>0</v>
      </c>
      <c r="X322" s="394" t="e">
        <f>SUM($W$4:W322)/COUNT($W$4:W322)</f>
        <v>#DIV/0!</v>
      </c>
      <c r="Z322" s="469"/>
    </row>
    <row r="323" spans="1:26" x14ac:dyDescent="0.15">
      <c r="A323" s="384">
        <f t="shared" si="88"/>
        <v>321</v>
      </c>
      <c r="B323" s="401">
        <f t="shared" si="91"/>
        <v>40073</v>
      </c>
      <c r="D323" s="390">
        <v>32359.077969999998</v>
      </c>
      <c r="E323" s="387">
        <v>32359.077969999998</v>
      </c>
      <c r="F323" s="387">
        <f t="shared" si="95"/>
        <v>541.57796999999846</v>
      </c>
      <c r="G323" s="388">
        <f t="shared" si="96"/>
        <v>1.7021386658285564E-2</v>
      </c>
      <c r="H323" s="387">
        <f t="shared" si="93"/>
        <v>9503.2279699999999</v>
      </c>
      <c r="I323" s="388">
        <f t="shared" si="94"/>
        <v>0.41578974179477024</v>
      </c>
      <c r="L323" s="369">
        <v>1068.2998</v>
      </c>
      <c r="M323" s="394">
        <f t="shared" si="92"/>
        <v>2.4521975966932841E-2</v>
      </c>
      <c r="N323" s="394">
        <f t="shared" si="86"/>
        <v>0.14861065714777211</v>
      </c>
      <c r="O323" s="395" t="str">
        <f t="shared" si="87"/>
        <v>No</v>
      </c>
      <c r="P323" s="396">
        <f t="shared" si="89"/>
        <v>0</v>
      </c>
      <c r="Q323" s="394">
        <f>SUM($P$4:P323)/COUNT($P$4:P323)</f>
        <v>0.53437500000000004</v>
      </c>
      <c r="W323" s="396">
        <f t="shared" si="90"/>
        <v>0</v>
      </c>
      <c r="X323" s="394" t="e">
        <f>SUM($W$4:W323)/COUNT($W$4:W323)</f>
        <v>#DIV/0!</v>
      </c>
      <c r="Z323" s="469"/>
    </row>
    <row r="324" spans="1:26" x14ac:dyDescent="0.15">
      <c r="A324" s="384">
        <f t="shared" si="88"/>
        <v>322</v>
      </c>
      <c r="B324" s="401">
        <f t="shared" si="91"/>
        <v>40080</v>
      </c>
      <c r="D324" s="390">
        <v>31627.79</v>
      </c>
      <c r="E324" s="387">
        <v>31627.79</v>
      </c>
      <c r="F324" s="387">
        <f t="shared" si="95"/>
        <v>-731.28796999999759</v>
      </c>
      <c r="G324" s="388">
        <f t="shared" si="96"/>
        <v>-2.2599159675623981E-2</v>
      </c>
      <c r="H324" s="387">
        <f t="shared" si="93"/>
        <v>8771.9400000000023</v>
      </c>
      <c r="I324" s="388">
        <f t="shared" si="94"/>
        <v>0.38379408335283971</v>
      </c>
      <c r="L324" s="369">
        <v>1044.3798999999999</v>
      </c>
      <c r="M324" s="394">
        <f t="shared" ref="M324:M330" si="97">(L324/L323)-1</f>
        <v>-2.2390624804011106E-2</v>
      </c>
      <c r="N324" s="394">
        <f t="shared" ref="N324:N387" si="98">(L324/$L$3)-1</f>
        <v>0.1228925468776878</v>
      </c>
      <c r="O324" s="395" t="str">
        <f t="shared" ref="O324:O387" si="99">IF(G324&gt;M324,"Yes","No")</f>
        <v>No</v>
      </c>
      <c r="P324" s="396">
        <f t="shared" si="89"/>
        <v>0</v>
      </c>
      <c r="Q324" s="394">
        <f>SUM($P$4:P324)/COUNT($P$4:P324)</f>
        <v>0.53271028037383172</v>
      </c>
      <c r="W324" s="396">
        <f t="shared" si="90"/>
        <v>0</v>
      </c>
      <c r="X324" s="394" t="e">
        <f>SUM($W$4:W324)/COUNT($W$4:W324)</f>
        <v>#DIV/0!</v>
      </c>
      <c r="Z324" s="469"/>
    </row>
    <row r="325" spans="1:26" x14ac:dyDescent="0.15">
      <c r="A325" s="384">
        <f t="shared" ref="A325:A388" si="100">A324+1</f>
        <v>323</v>
      </c>
      <c r="B325" s="401">
        <f t="shared" si="91"/>
        <v>40087</v>
      </c>
      <c r="D325" s="390">
        <v>31130.51</v>
      </c>
      <c r="E325" s="387">
        <v>31130.51</v>
      </c>
      <c r="F325" s="387">
        <f t="shared" si="95"/>
        <v>-497.28000000000247</v>
      </c>
      <c r="G325" s="388">
        <f t="shared" si="96"/>
        <v>-1.572288168095215E-2</v>
      </c>
      <c r="H325" s="387">
        <f t="shared" si="93"/>
        <v>8274.66</v>
      </c>
      <c r="I325" s="388">
        <f t="shared" si="94"/>
        <v>0.36203685270948149</v>
      </c>
      <c r="L325" s="369">
        <v>1025.21</v>
      </c>
      <c r="M325" s="394">
        <f t="shared" si="97"/>
        <v>-1.8355293892576729E-2</v>
      </c>
      <c r="N325" s="394">
        <f t="shared" si="98"/>
        <v>0.10228152416996394</v>
      </c>
      <c r="O325" s="395" t="str">
        <f t="shared" si="99"/>
        <v>Yes</v>
      </c>
      <c r="P325" s="396">
        <f t="shared" si="89"/>
        <v>1</v>
      </c>
      <c r="Q325" s="394">
        <f>SUM($P$4:P325)/COUNT($P$4:P325)</f>
        <v>0.53416149068322982</v>
      </c>
      <c r="W325" s="396">
        <f t="shared" si="90"/>
        <v>0</v>
      </c>
      <c r="X325" s="394" t="e">
        <f>SUM($W$4:W325)/COUNT($W$4:W325)</f>
        <v>#DIV/0!</v>
      </c>
      <c r="Z325" s="469"/>
    </row>
    <row r="326" spans="1:26" x14ac:dyDescent="0.15">
      <c r="A326" s="384">
        <f t="shared" si="100"/>
        <v>324</v>
      </c>
      <c r="B326" s="401">
        <f t="shared" si="91"/>
        <v>40094</v>
      </c>
      <c r="D326" s="390">
        <v>32453.32</v>
      </c>
      <c r="E326" s="387">
        <v>32453.32</v>
      </c>
      <c r="F326" s="387">
        <f t="shared" si="95"/>
        <v>1322.8100000000013</v>
      </c>
      <c r="G326" s="388">
        <f t="shared" si="96"/>
        <v>4.2492397329822129E-2</v>
      </c>
      <c r="H326" s="387">
        <f t="shared" si="93"/>
        <v>9597.4700000000012</v>
      </c>
      <c r="I326" s="388">
        <f t="shared" si="94"/>
        <v>0.41991306383267313</v>
      </c>
      <c r="L326" s="369">
        <v>1071.49</v>
      </c>
      <c r="M326" s="394">
        <f t="shared" si="97"/>
        <v>4.5141970913276319E-2</v>
      </c>
      <c r="N326" s="394">
        <f t="shared" si="98"/>
        <v>0.15204068467228615</v>
      </c>
      <c r="O326" s="395" t="str">
        <f t="shared" si="99"/>
        <v>No</v>
      </c>
      <c r="P326" s="396">
        <f t="shared" ref="P326:P389" si="101">IF(O326="Yes",1,0)</f>
        <v>0</v>
      </c>
      <c r="Q326" s="394">
        <f>SUM($P$4:P326)/COUNT($P$4:P326)</f>
        <v>0.53250773993808054</v>
      </c>
      <c r="W326" s="396">
        <f t="shared" ref="W326:W389" si="102">IF(V326="Yes",1,0)</f>
        <v>0</v>
      </c>
      <c r="X326" s="394" t="e">
        <f>SUM($W$4:W326)/COUNT($W$4:W326)</f>
        <v>#DIV/0!</v>
      </c>
      <c r="Z326" s="469"/>
    </row>
    <row r="327" spans="1:26" x14ac:dyDescent="0.15">
      <c r="A327" s="384">
        <f t="shared" si="100"/>
        <v>325</v>
      </c>
      <c r="B327" s="401">
        <f t="shared" si="91"/>
        <v>40101</v>
      </c>
      <c r="D327" s="390">
        <v>33222.78</v>
      </c>
      <c r="E327" s="387">
        <v>33222.78</v>
      </c>
      <c r="F327" s="387">
        <f t="shared" si="95"/>
        <v>769.45999999999913</v>
      </c>
      <c r="G327" s="388">
        <f t="shared" si="96"/>
        <v>2.3709746799402964E-2</v>
      </c>
      <c r="H327" s="387">
        <f t="shared" si="93"/>
        <v>10366.93</v>
      </c>
      <c r="I327" s="388">
        <f t="shared" si="94"/>
        <v>0.45357884305331031</v>
      </c>
      <c r="L327" s="369">
        <v>1087.6799000000001</v>
      </c>
      <c r="M327" s="394">
        <f t="shared" si="97"/>
        <v>1.5109707043462928E-2</v>
      </c>
      <c r="N327" s="394">
        <f t="shared" si="98"/>
        <v>0.16944768191983495</v>
      </c>
      <c r="O327" s="395" t="str">
        <f t="shared" si="99"/>
        <v>Yes</v>
      </c>
      <c r="P327" s="396">
        <f t="shared" si="101"/>
        <v>1</v>
      </c>
      <c r="Q327" s="394">
        <f>SUM($P$4:P327)/COUNT($P$4:P327)</f>
        <v>0.53395061728395066</v>
      </c>
      <c r="W327" s="396">
        <f t="shared" si="102"/>
        <v>0</v>
      </c>
      <c r="X327" s="394" t="e">
        <f>SUM($W$4:W327)/COUNT($W$4:W327)</f>
        <v>#DIV/0!</v>
      </c>
      <c r="Z327" s="469"/>
    </row>
    <row r="328" spans="1:26" x14ac:dyDescent="0.15">
      <c r="A328" s="384">
        <f t="shared" si="100"/>
        <v>326</v>
      </c>
      <c r="B328" s="401">
        <f t="shared" si="91"/>
        <v>40108</v>
      </c>
      <c r="D328" s="390">
        <v>32919.43</v>
      </c>
      <c r="E328" s="387">
        <v>32919.43</v>
      </c>
      <c r="F328" s="387">
        <f t="shared" si="95"/>
        <v>-303.34999999999854</v>
      </c>
      <c r="G328" s="388">
        <f t="shared" si="96"/>
        <v>-9.130783155413158E-3</v>
      </c>
      <c r="H328" s="387">
        <f t="shared" si="93"/>
        <v>10063.580000000002</v>
      </c>
      <c r="I328" s="388">
        <f t="shared" si="94"/>
        <v>0.44030652983809415</v>
      </c>
      <c r="L328" s="369">
        <v>1079.5998999999999</v>
      </c>
      <c r="M328" s="394">
        <f t="shared" si="97"/>
        <v>-7.4286561698898579E-3</v>
      </c>
      <c r="N328" s="394">
        <f t="shared" si="98"/>
        <v>0.16076025718217779</v>
      </c>
      <c r="O328" s="395" t="str">
        <f t="shared" si="99"/>
        <v>No</v>
      </c>
      <c r="P328" s="396">
        <f t="shared" si="101"/>
        <v>0</v>
      </c>
      <c r="Q328" s="394">
        <f>SUM($P$4:P328)/COUNT($P$4:P328)</f>
        <v>0.53230769230769226</v>
      </c>
      <c r="W328" s="396">
        <f t="shared" si="102"/>
        <v>0</v>
      </c>
      <c r="X328" s="394" t="e">
        <f>SUM($W$4:W328)/COUNT($W$4:W328)</f>
        <v>#DIV/0!</v>
      </c>
      <c r="Z328" s="469"/>
    </row>
    <row r="329" spans="1:26" x14ac:dyDescent="0.15">
      <c r="A329" s="384">
        <f t="shared" si="100"/>
        <v>327</v>
      </c>
      <c r="B329" s="401">
        <f t="shared" si="91"/>
        <v>40115</v>
      </c>
      <c r="D329" s="390">
        <v>32396.959999999999</v>
      </c>
      <c r="E329" s="387">
        <v>32396.959999999999</v>
      </c>
      <c r="F329" s="387">
        <f t="shared" si="95"/>
        <v>-522.47000000000116</v>
      </c>
      <c r="G329" s="388">
        <f t="shared" si="96"/>
        <v>-1.5871173954105533E-2</v>
      </c>
      <c r="H329" s="387">
        <f t="shared" si="93"/>
        <v>9541.11</v>
      </c>
      <c r="I329" s="388">
        <f t="shared" si="94"/>
        <v>0.41744717435579948</v>
      </c>
      <c r="L329" s="369">
        <v>1036.1899000000001</v>
      </c>
      <c r="M329" s="394">
        <f t="shared" si="97"/>
        <v>-4.0209340515870662E-2</v>
      </c>
      <c r="N329" s="394">
        <f t="shared" si="98"/>
        <v>0.11408685274385011</v>
      </c>
      <c r="O329" s="395" t="str">
        <f t="shared" si="99"/>
        <v>Yes</v>
      </c>
      <c r="P329" s="396">
        <f t="shared" si="101"/>
        <v>1</v>
      </c>
      <c r="Q329" s="394">
        <f>SUM($P$4:P329)/COUNT($P$4:P329)</f>
        <v>0.53374233128834359</v>
      </c>
      <c r="W329" s="396">
        <f t="shared" si="102"/>
        <v>0</v>
      </c>
      <c r="X329" s="394" t="e">
        <f>SUM($W$4:W329)/COUNT($W$4:W329)</f>
        <v>#DIV/0!</v>
      </c>
      <c r="Z329" s="469"/>
    </row>
    <row r="330" spans="1:26" x14ac:dyDescent="0.15">
      <c r="A330" s="384">
        <f t="shared" si="100"/>
        <v>328</v>
      </c>
      <c r="B330" s="401">
        <f t="shared" si="91"/>
        <v>40122</v>
      </c>
      <c r="D330" s="390">
        <v>32628.34</v>
      </c>
      <c r="E330" s="387">
        <v>32628.34</v>
      </c>
      <c r="F330" s="387">
        <f t="shared" si="95"/>
        <v>231.38000000000102</v>
      </c>
      <c r="G330" s="388">
        <f t="shared" si="96"/>
        <v>7.1420281409120268E-3</v>
      </c>
      <c r="H330" s="387">
        <f t="shared" si="93"/>
        <v>9772.4900000000016</v>
      </c>
      <c r="I330" s="388">
        <f t="shared" si="94"/>
        <v>0.42757062196330486</v>
      </c>
      <c r="L330" s="369">
        <v>1069.2998</v>
      </c>
      <c r="M330" s="394">
        <f t="shared" si="97"/>
        <v>3.1953505819734218E-2</v>
      </c>
      <c r="N330" s="394">
        <f t="shared" si="98"/>
        <v>0.14968583347669018</v>
      </c>
      <c r="O330" s="395" t="str">
        <f t="shared" si="99"/>
        <v>No</v>
      </c>
      <c r="P330" s="396">
        <f t="shared" si="101"/>
        <v>0</v>
      </c>
      <c r="Q330" s="394">
        <f>SUM($P$4:P330)/COUNT($P$4:P330)</f>
        <v>0.5321100917431193</v>
      </c>
      <c r="W330" s="396">
        <f t="shared" si="102"/>
        <v>0</v>
      </c>
      <c r="X330" s="394" t="e">
        <f>SUM($W$4:W330)/COUNT($W$4:W330)</f>
        <v>#DIV/0!</v>
      </c>
      <c r="Z330" s="469"/>
    </row>
    <row r="331" spans="1:26" x14ac:dyDescent="0.15">
      <c r="A331" s="384">
        <f t="shared" si="100"/>
        <v>329</v>
      </c>
      <c r="B331" s="401">
        <f t="shared" ref="B331:B394" si="103">B330+7</f>
        <v>40129</v>
      </c>
      <c r="D331" s="390">
        <v>32834.629999999997</v>
      </c>
      <c r="E331" s="387">
        <v>32834.629999999997</v>
      </c>
      <c r="F331" s="387">
        <f t="shared" si="95"/>
        <v>206.28999999999724</v>
      </c>
      <c r="G331" s="388">
        <f t="shared" si="96"/>
        <v>6.322417873541708E-3</v>
      </c>
      <c r="H331" s="387">
        <f t="shared" si="93"/>
        <v>9978.7799999999988</v>
      </c>
      <c r="I331" s="388">
        <f t="shared" si="94"/>
        <v>0.43659631997934878</v>
      </c>
      <c r="L331" s="369">
        <v>1093.48</v>
      </c>
      <c r="M331" s="394">
        <f t="shared" ref="M331:M336" si="104">(L331/L330)-1</f>
        <v>2.2613115610794932E-2</v>
      </c>
      <c r="N331" s="394">
        <f t="shared" si="98"/>
        <v>0.1756838121451918</v>
      </c>
      <c r="O331" s="395" t="str">
        <f t="shared" si="99"/>
        <v>No</v>
      </c>
      <c r="P331" s="396">
        <f t="shared" si="101"/>
        <v>0</v>
      </c>
      <c r="Q331" s="394">
        <f>SUM($P$4:P331)/COUNT($P$4:P331)</f>
        <v>0.53048780487804881</v>
      </c>
      <c r="W331" s="396">
        <f t="shared" si="102"/>
        <v>0</v>
      </c>
      <c r="X331" s="394" t="e">
        <f>SUM($W$4:W331)/COUNT($W$4:W331)</f>
        <v>#DIV/0!</v>
      </c>
      <c r="Z331" s="469"/>
    </row>
    <row r="332" spans="1:26" x14ac:dyDescent="0.15">
      <c r="A332" s="384">
        <f t="shared" si="100"/>
        <v>330</v>
      </c>
      <c r="B332" s="401">
        <f t="shared" si="103"/>
        <v>40136</v>
      </c>
      <c r="D332" s="390">
        <v>32940.58</v>
      </c>
      <c r="E332" s="387">
        <v>32940.58</v>
      </c>
      <c r="F332" s="387">
        <f t="shared" si="95"/>
        <v>105.95000000000437</v>
      </c>
      <c r="G332" s="388">
        <f t="shared" si="96"/>
        <v>3.2267761202122713E-3</v>
      </c>
      <c r="H332" s="387">
        <f t="shared" si="93"/>
        <v>10084.730000000003</v>
      </c>
      <c r="I332" s="388">
        <f t="shared" si="94"/>
        <v>0.441231894679043</v>
      </c>
      <c r="L332" s="369">
        <v>1091.3798999999999</v>
      </c>
      <c r="M332" s="394">
        <f t="shared" si="104"/>
        <v>-1.9205655338918604E-3</v>
      </c>
      <c r="N332" s="394">
        <f t="shared" si="98"/>
        <v>0.17342583433683112</v>
      </c>
      <c r="O332" s="395" t="str">
        <f t="shared" si="99"/>
        <v>Yes</v>
      </c>
      <c r="P332" s="396">
        <f t="shared" si="101"/>
        <v>1</v>
      </c>
      <c r="Q332" s="394">
        <f>SUM($P$4:P332)/COUNT($P$4:P332)</f>
        <v>0.53191489361702127</v>
      </c>
      <c r="W332" s="396">
        <f t="shared" si="102"/>
        <v>0</v>
      </c>
      <c r="X332" s="394" t="e">
        <f>SUM($W$4:W332)/COUNT($W$4:W332)</f>
        <v>#DIV/0!</v>
      </c>
      <c r="Z332" s="469"/>
    </row>
    <row r="333" spans="1:26" x14ac:dyDescent="0.15">
      <c r="A333" s="384">
        <f t="shared" si="100"/>
        <v>331</v>
      </c>
      <c r="B333" s="401">
        <f t="shared" si="103"/>
        <v>40143</v>
      </c>
      <c r="D333" s="390">
        <v>33162.879999999997</v>
      </c>
      <c r="E333" s="387">
        <v>33162.879999999997</v>
      </c>
      <c r="F333" s="387">
        <f t="shared" si="95"/>
        <v>222.29999999999563</v>
      </c>
      <c r="G333" s="388">
        <f t="shared" si="96"/>
        <v>6.748515053468962E-3</v>
      </c>
      <c r="H333" s="387">
        <f t="shared" si="93"/>
        <v>10307.029999999999</v>
      </c>
      <c r="I333" s="388">
        <f t="shared" si="94"/>
        <v>0.45095806981582398</v>
      </c>
      <c r="L333" s="369">
        <v>1091.49</v>
      </c>
      <c r="M333" s="394">
        <f t="shared" si="104"/>
        <v>1.0088146208309112E-4</v>
      </c>
      <c r="N333" s="394">
        <f t="shared" si="98"/>
        <v>0.17354421125064512</v>
      </c>
      <c r="O333" s="395" t="str">
        <f t="shared" si="99"/>
        <v>Yes</v>
      </c>
      <c r="P333" s="396">
        <f t="shared" si="101"/>
        <v>1</v>
      </c>
      <c r="Q333" s="394">
        <f>SUM($P$4:P333)/COUNT($P$4:P333)</f>
        <v>0.53333333333333333</v>
      </c>
      <c r="W333" s="396">
        <f t="shared" si="102"/>
        <v>0</v>
      </c>
      <c r="X333" s="394" t="e">
        <f>SUM($W$4:W333)/COUNT($W$4:W333)</f>
        <v>#DIV/0!</v>
      </c>
      <c r="Z333" s="469"/>
    </row>
    <row r="334" spans="1:26" x14ac:dyDescent="0.15">
      <c r="A334" s="384">
        <f t="shared" si="100"/>
        <v>332</v>
      </c>
      <c r="B334" s="401">
        <f t="shared" si="103"/>
        <v>40150</v>
      </c>
      <c r="D334" s="390">
        <v>33422.098570000002</v>
      </c>
      <c r="E334" s="387">
        <v>33422.098570000002</v>
      </c>
      <c r="F334" s="387">
        <f t="shared" si="95"/>
        <v>259.21857000000455</v>
      </c>
      <c r="G334" s="388">
        <f t="shared" si="96"/>
        <v>7.8165276960264762E-3</v>
      </c>
      <c r="H334" s="387">
        <f t="shared" si="93"/>
        <v>10566.248570000003</v>
      </c>
      <c r="I334" s="388">
        <f t="shared" si="94"/>
        <v>0.4622995237543126</v>
      </c>
      <c r="L334" s="369">
        <v>1105.98</v>
      </c>
      <c r="M334" s="394">
        <f t="shared" si="104"/>
        <v>1.3275430833081359E-2</v>
      </c>
      <c r="N334" s="394">
        <f t="shared" si="98"/>
        <v>0.18912351625666601</v>
      </c>
      <c r="O334" s="395" t="str">
        <f t="shared" si="99"/>
        <v>No</v>
      </c>
      <c r="P334" s="396">
        <f t="shared" si="101"/>
        <v>0</v>
      </c>
      <c r="Q334" s="394">
        <f>SUM($P$4:P334)/COUNT($P$4:P334)</f>
        <v>0.53172205438066467</v>
      </c>
      <c r="W334" s="396">
        <f t="shared" si="102"/>
        <v>0</v>
      </c>
      <c r="X334" s="394" t="e">
        <f>SUM($W$4:W334)/COUNT($W$4:W334)</f>
        <v>#DIV/0!</v>
      </c>
      <c r="Z334" s="469"/>
    </row>
    <row r="335" spans="1:26" x14ac:dyDescent="0.15">
      <c r="A335" s="384">
        <f t="shared" si="100"/>
        <v>333</v>
      </c>
      <c r="B335" s="401">
        <f t="shared" si="103"/>
        <v>40157</v>
      </c>
      <c r="D335" s="390">
        <v>33495.21</v>
      </c>
      <c r="E335" s="387">
        <v>33495.21</v>
      </c>
      <c r="F335" s="387">
        <f t="shared" si="95"/>
        <v>73.111429999997199</v>
      </c>
      <c r="G335" s="388">
        <f t="shared" si="96"/>
        <v>2.187517634383962E-3</v>
      </c>
      <c r="H335" s="387">
        <f t="shared" si="93"/>
        <v>10639.36</v>
      </c>
      <c r="I335" s="388">
        <f t="shared" si="94"/>
        <v>0.46549832974927652</v>
      </c>
      <c r="L335" s="369">
        <v>1106.4099000000001</v>
      </c>
      <c r="M335" s="394">
        <f t="shared" si="104"/>
        <v>3.8870503987431526E-4</v>
      </c>
      <c r="N335" s="394">
        <f t="shared" si="98"/>
        <v>0.1895857345604679</v>
      </c>
      <c r="O335" s="395" t="str">
        <f t="shared" si="99"/>
        <v>Yes</v>
      </c>
      <c r="P335" s="396">
        <f t="shared" si="101"/>
        <v>1</v>
      </c>
      <c r="Q335" s="394">
        <f>SUM($P$4:P335)/COUNT($P$4:P335)</f>
        <v>0.5331325301204819</v>
      </c>
      <c r="W335" s="396">
        <f t="shared" si="102"/>
        <v>0</v>
      </c>
      <c r="X335" s="394" t="e">
        <f>SUM($W$4:W335)/COUNT($W$4:W335)</f>
        <v>#DIV/0!</v>
      </c>
      <c r="Z335" s="469"/>
    </row>
    <row r="336" spans="1:26" x14ac:dyDescent="0.15">
      <c r="A336" s="384">
        <f t="shared" si="100"/>
        <v>334</v>
      </c>
      <c r="B336" s="401">
        <f t="shared" si="103"/>
        <v>40164</v>
      </c>
      <c r="D336" s="390">
        <v>33398.01</v>
      </c>
      <c r="E336" s="387">
        <v>33398.01</v>
      </c>
      <c r="F336" s="387">
        <f t="shared" si="95"/>
        <v>-97.19999999999709</v>
      </c>
      <c r="G336" s="388">
        <f t="shared" si="96"/>
        <v>-2.9019074667689937E-3</v>
      </c>
      <c r="H336" s="387">
        <f t="shared" si="93"/>
        <v>10542.160000000003</v>
      </c>
      <c r="I336" s="388">
        <f t="shared" si="94"/>
        <v>0.46124558920363956</v>
      </c>
      <c r="L336" s="369">
        <v>1102.47</v>
      </c>
      <c r="M336" s="394">
        <f t="shared" si="104"/>
        <v>-3.5609768133854081E-3</v>
      </c>
      <c r="N336" s="394">
        <f t="shared" si="98"/>
        <v>0.18534964734216408</v>
      </c>
      <c r="O336" s="395" t="str">
        <f t="shared" si="99"/>
        <v>Yes</v>
      </c>
      <c r="P336" s="396">
        <f t="shared" si="101"/>
        <v>1</v>
      </c>
      <c r="Q336" s="394">
        <f>SUM($P$4:P336)/COUNT($P$4:P336)</f>
        <v>0.53453453453453459</v>
      </c>
      <c r="W336" s="396">
        <f t="shared" si="102"/>
        <v>0</v>
      </c>
      <c r="X336" s="394" t="e">
        <f>SUM($W$4:W336)/COUNT($W$4:W336)</f>
        <v>#DIV/0!</v>
      </c>
      <c r="Z336" s="469"/>
    </row>
    <row r="337" spans="1:26" x14ac:dyDescent="0.15">
      <c r="A337" s="384">
        <f t="shared" si="100"/>
        <v>335</v>
      </c>
      <c r="B337" s="401">
        <f t="shared" si="103"/>
        <v>40171</v>
      </c>
      <c r="D337" s="390">
        <v>34192.712800000001</v>
      </c>
      <c r="E337" s="387">
        <v>34192.712800000001</v>
      </c>
      <c r="F337" s="387">
        <f t="shared" si="95"/>
        <v>794.70279999999912</v>
      </c>
      <c r="G337" s="388">
        <f t="shared" si="96"/>
        <v>2.3794914726955163E-2</v>
      </c>
      <c r="H337" s="387">
        <f t="shared" si="93"/>
        <v>11336.862800000003</v>
      </c>
      <c r="I337" s="388">
        <f t="shared" si="94"/>
        <v>0.49601580339387952</v>
      </c>
      <c r="L337" s="369">
        <v>1126.48</v>
      </c>
      <c r="M337" s="394">
        <f t="shared" ref="M337:M343" si="105">(L337/L336)-1</f>
        <v>2.1778370386495771E-2</v>
      </c>
      <c r="N337" s="394">
        <f t="shared" si="98"/>
        <v>0.2111646309994839</v>
      </c>
      <c r="O337" s="395" t="str">
        <f t="shared" si="99"/>
        <v>Yes</v>
      </c>
      <c r="P337" s="396">
        <f t="shared" si="101"/>
        <v>1</v>
      </c>
      <c r="Q337" s="394">
        <f>SUM($P$4:P337)/COUNT($P$4:P337)</f>
        <v>0.5359281437125748</v>
      </c>
      <c r="W337" s="396">
        <f t="shared" si="102"/>
        <v>0</v>
      </c>
      <c r="X337" s="394" t="e">
        <f>SUM($W$4:W337)/COUNT($W$4:W337)</f>
        <v>#DIV/0!</v>
      </c>
      <c r="Z337" s="469"/>
    </row>
    <row r="338" spans="1:26" x14ac:dyDescent="0.15">
      <c r="A338" s="384">
        <f t="shared" si="100"/>
        <v>336</v>
      </c>
      <c r="B338" s="401">
        <f t="shared" si="103"/>
        <v>40178</v>
      </c>
      <c r="D338" s="390">
        <v>33849.141519999997</v>
      </c>
      <c r="E338" s="387">
        <v>33849.141519999997</v>
      </c>
      <c r="F338" s="387">
        <f t="shared" si="95"/>
        <v>-343.57128000000375</v>
      </c>
      <c r="G338" s="388">
        <f t="shared" si="96"/>
        <v>-1.0048084865615148E-2</v>
      </c>
      <c r="H338" s="387">
        <f t="shared" si="93"/>
        <v>10993.291519999999</v>
      </c>
      <c r="I338" s="388">
        <f t="shared" si="94"/>
        <v>0.48098370964107651</v>
      </c>
      <c r="L338" s="369">
        <v>1115.0998999999999</v>
      </c>
      <c r="M338" s="394">
        <f t="shared" si="105"/>
        <v>-1.0102354236204869E-2</v>
      </c>
      <c r="N338" s="394">
        <f t="shared" si="98"/>
        <v>0.19892901685876474</v>
      </c>
      <c r="O338" s="395" t="str">
        <f t="shared" si="99"/>
        <v>Yes</v>
      </c>
      <c r="P338" s="396">
        <f t="shared" si="101"/>
        <v>1</v>
      </c>
      <c r="Q338" s="394">
        <f>SUM($P$4:P338)/COUNT($P$4:P338)</f>
        <v>0.53731343283582089</v>
      </c>
      <c r="W338" s="396">
        <f t="shared" si="102"/>
        <v>0</v>
      </c>
      <c r="X338" s="394" t="e">
        <f>SUM($W$4:W338)/COUNT($W$4:W338)</f>
        <v>#DIV/0!</v>
      </c>
      <c r="Z338" s="469"/>
    </row>
    <row r="339" spans="1:26" x14ac:dyDescent="0.15">
      <c r="A339" s="384">
        <f t="shared" si="100"/>
        <v>337</v>
      </c>
      <c r="B339" s="401">
        <f t="shared" si="103"/>
        <v>40185</v>
      </c>
      <c r="D339" s="390">
        <v>35157.935940000003</v>
      </c>
      <c r="E339" s="387">
        <v>35157.935940000003</v>
      </c>
      <c r="F339" s="387">
        <f t="shared" si="95"/>
        <v>1308.7944200000056</v>
      </c>
      <c r="G339" s="388">
        <f t="shared" si="96"/>
        <v>3.8665512956264969E-2</v>
      </c>
      <c r="H339" s="387">
        <f t="shared" si="93"/>
        <v>12302.085940000004</v>
      </c>
      <c r="I339" s="388">
        <f t="shared" si="94"/>
        <v>0.53824670445422096</v>
      </c>
      <c r="L339" s="369">
        <v>1144.98</v>
      </c>
      <c r="M339" s="394">
        <f t="shared" si="105"/>
        <v>2.6795895148049143E-2</v>
      </c>
      <c r="N339" s="394">
        <f t="shared" si="98"/>
        <v>0.23105539308446588</v>
      </c>
      <c r="O339" s="395" t="str">
        <f t="shared" si="99"/>
        <v>Yes</v>
      </c>
      <c r="P339" s="396">
        <f t="shared" si="101"/>
        <v>1</v>
      </c>
      <c r="Q339" s="394">
        <f>SUM($P$4:P339)/COUNT($P$4:P339)</f>
        <v>0.53869047619047616</v>
      </c>
      <c r="W339" s="396">
        <f t="shared" si="102"/>
        <v>0</v>
      </c>
      <c r="X339" s="394" t="e">
        <f>SUM($W$4:W339)/COUNT($W$4:W339)</f>
        <v>#DIV/0!</v>
      </c>
      <c r="Z339" s="469"/>
    </row>
    <row r="340" spans="1:26" x14ac:dyDescent="0.15">
      <c r="A340" s="384">
        <f t="shared" si="100"/>
        <v>338</v>
      </c>
      <c r="B340" s="401">
        <f t="shared" si="103"/>
        <v>40192</v>
      </c>
      <c r="D340" s="390">
        <v>35455.557140000004</v>
      </c>
      <c r="E340" s="387">
        <v>35455.557140000004</v>
      </c>
      <c r="F340" s="387">
        <f t="shared" si="95"/>
        <v>297.62120000000141</v>
      </c>
      <c r="G340" s="388">
        <f t="shared" si="96"/>
        <v>8.4652637318618495E-3</v>
      </c>
      <c r="H340" s="387">
        <f t="shared" si="93"/>
        <v>12599.707140000006</v>
      </c>
      <c r="I340" s="388">
        <f t="shared" si="94"/>
        <v>0.55126836849209315</v>
      </c>
      <c r="L340" s="369">
        <v>1136.0298</v>
      </c>
      <c r="M340" s="394">
        <f t="shared" si="105"/>
        <v>-7.8169050987789701E-3</v>
      </c>
      <c r="N340" s="394">
        <f t="shared" si="98"/>
        <v>0.22143234990538452</v>
      </c>
      <c r="O340" s="395" t="str">
        <f t="shared" si="99"/>
        <v>Yes</v>
      </c>
      <c r="P340" s="396">
        <f t="shared" si="101"/>
        <v>1</v>
      </c>
      <c r="Q340" s="394">
        <f>SUM($P$4:P340)/COUNT($P$4:P340)</f>
        <v>0.5400593471810089</v>
      </c>
      <c r="W340" s="396">
        <f t="shared" si="102"/>
        <v>0</v>
      </c>
      <c r="X340" s="394" t="e">
        <f>SUM($W$4:W340)/COUNT($W$4:W340)</f>
        <v>#DIV/0!</v>
      </c>
      <c r="Z340" s="469"/>
    </row>
    <row r="341" spans="1:26" x14ac:dyDescent="0.15">
      <c r="A341" s="384">
        <f t="shared" si="100"/>
        <v>339</v>
      </c>
      <c r="B341" s="401">
        <f t="shared" si="103"/>
        <v>40199</v>
      </c>
      <c r="D341" s="390">
        <v>34627.906080000001</v>
      </c>
      <c r="E341" s="387">
        <v>34627.906080000001</v>
      </c>
      <c r="F341" s="387">
        <f t="shared" si="95"/>
        <v>-827.65106000000378</v>
      </c>
      <c r="G341" s="388">
        <f t="shared" si="96"/>
        <v>-2.3343338160839999E-2</v>
      </c>
      <c r="H341" s="387">
        <f t="shared" si="93"/>
        <v>11772.056080000002</v>
      </c>
      <c r="I341" s="388">
        <f t="shared" si="94"/>
        <v>0.51505658638816776</v>
      </c>
      <c r="L341" s="369">
        <v>1091.7598</v>
      </c>
      <c r="M341" s="394">
        <f t="shared" si="105"/>
        <v>-3.8969048171095477E-2</v>
      </c>
      <c r="N341" s="394">
        <f t="shared" si="98"/>
        <v>0.17383429382418725</v>
      </c>
      <c r="O341" s="395" t="str">
        <f t="shared" si="99"/>
        <v>Yes</v>
      </c>
      <c r="P341" s="396">
        <f t="shared" si="101"/>
        <v>1</v>
      </c>
      <c r="Q341" s="394">
        <f>SUM($P$4:P341)/COUNT($P$4:P341)</f>
        <v>0.54142011834319526</v>
      </c>
      <c r="W341" s="396">
        <f t="shared" si="102"/>
        <v>0</v>
      </c>
      <c r="X341" s="394" t="e">
        <f>SUM($W$4:W341)/COUNT($W$4:W341)</f>
        <v>#DIV/0!</v>
      </c>
      <c r="Z341" s="469"/>
    </row>
    <row r="342" spans="1:26" x14ac:dyDescent="0.15">
      <c r="A342" s="384">
        <f t="shared" si="100"/>
        <v>340</v>
      </c>
      <c r="B342" s="401">
        <f t="shared" si="103"/>
        <v>40206</v>
      </c>
      <c r="D342" s="390">
        <v>32454.974429999998</v>
      </c>
      <c r="E342" s="387">
        <v>32454.974429999998</v>
      </c>
      <c r="F342" s="387">
        <f t="shared" si="95"/>
        <v>-2172.9316500000023</v>
      </c>
      <c r="G342" s="388">
        <f t="shared" si="96"/>
        <v>-6.2750882048135725E-2</v>
      </c>
      <c r="H342" s="387">
        <f t="shared" si="93"/>
        <v>9599.1244299999998</v>
      </c>
      <c r="I342" s="388">
        <f t="shared" si="94"/>
        <v>0.41998544923947256</v>
      </c>
      <c r="L342" s="369">
        <v>1073.8698999999999</v>
      </c>
      <c r="M342" s="394">
        <f t="shared" si="105"/>
        <v>-1.638629669273417E-2</v>
      </c>
      <c r="N342" s="394">
        <f t="shared" si="98"/>
        <v>0.15459949681747798</v>
      </c>
      <c r="O342" s="395" t="str">
        <f t="shared" si="99"/>
        <v>No</v>
      </c>
      <c r="P342" s="396">
        <f t="shared" si="101"/>
        <v>0</v>
      </c>
      <c r="Q342" s="394">
        <f>SUM($P$4:P342)/COUNT($P$4:P342)</f>
        <v>0.53982300884955747</v>
      </c>
      <c r="W342" s="396">
        <f t="shared" si="102"/>
        <v>0</v>
      </c>
      <c r="X342" s="394" t="e">
        <f>SUM($W$4:W342)/COUNT($W$4:W342)</f>
        <v>#DIV/0!</v>
      </c>
      <c r="Z342" s="469"/>
    </row>
    <row r="343" spans="1:26" x14ac:dyDescent="0.15">
      <c r="A343" s="384">
        <f t="shared" si="100"/>
        <v>341</v>
      </c>
      <c r="B343" s="401">
        <f t="shared" si="103"/>
        <v>40213</v>
      </c>
      <c r="D343" s="390">
        <v>33004.629999999997</v>
      </c>
      <c r="E343" s="387">
        <v>33004.629999999997</v>
      </c>
      <c r="F343" s="387">
        <f t="shared" si="95"/>
        <v>549.65556999999899</v>
      </c>
      <c r="G343" s="388">
        <f t="shared" si="96"/>
        <v>1.6935942167679574E-2</v>
      </c>
      <c r="H343" s="387">
        <f t="shared" si="93"/>
        <v>10148.779999999999</v>
      </c>
      <c r="I343" s="388">
        <f t="shared" si="94"/>
        <v>0.4440342406867388</v>
      </c>
      <c r="L343" s="369">
        <v>1066.1899000000001</v>
      </c>
      <c r="M343" s="394">
        <f t="shared" si="105"/>
        <v>-7.1517043172546479E-3</v>
      </c>
      <c r="N343" s="394">
        <f t="shared" si="98"/>
        <v>0.14634214261138823</v>
      </c>
      <c r="O343" s="395" t="str">
        <f t="shared" si="99"/>
        <v>Yes</v>
      </c>
      <c r="P343" s="396">
        <f t="shared" si="101"/>
        <v>1</v>
      </c>
      <c r="Q343" s="394">
        <f>SUM($P$4:P343)/COUNT($P$4:P343)</f>
        <v>0.54117647058823526</v>
      </c>
      <c r="W343" s="396">
        <f t="shared" si="102"/>
        <v>0</v>
      </c>
      <c r="X343" s="394" t="e">
        <f>SUM($W$4:W343)/COUNT($W$4:W343)</f>
        <v>#DIV/0!</v>
      </c>
      <c r="Z343" s="469"/>
    </row>
    <row r="344" spans="1:26" x14ac:dyDescent="0.15">
      <c r="A344" s="384">
        <f t="shared" si="100"/>
        <v>342</v>
      </c>
      <c r="B344" s="401">
        <f t="shared" si="103"/>
        <v>40220</v>
      </c>
      <c r="D344" s="390">
        <v>33973.980000000003</v>
      </c>
      <c r="E344" s="387">
        <v>33973.980000000003</v>
      </c>
      <c r="F344" s="387">
        <f t="shared" si="95"/>
        <v>969.35000000000582</v>
      </c>
      <c r="G344" s="388">
        <f t="shared" si="96"/>
        <v>2.9370121707166685E-2</v>
      </c>
      <c r="H344" s="387">
        <f t="shared" si="93"/>
        <v>11118.130000000005</v>
      </c>
      <c r="I344" s="388">
        <f t="shared" si="94"/>
        <v>0.48644570208502436</v>
      </c>
      <c r="L344" s="369">
        <v>1075.5098</v>
      </c>
      <c r="M344" s="394">
        <f t="shared" ref="M344:M352" si="106">(L344/L343)-1</f>
        <v>8.7413133438987156E-3</v>
      </c>
      <c r="N344" s="394">
        <f t="shared" si="98"/>
        <v>0.15636267847927066</v>
      </c>
      <c r="O344" s="395" t="str">
        <f t="shared" si="99"/>
        <v>Yes</v>
      </c>
      <c r="P344" s="396">
        <f t="shared" si="101"/>
        <v>1</v>
      </c>
      <c r="Q344" s="394">
        <f>SUM($P$4:P344)/COUNT($P$4:P344)</f>
        <v>0.54252199413489732</v>
      </c>
      <c r="W344" s="396">
        <f t="shared" si="102"/>
        <v>0</v>
      </c>
      <c r="X344" s="394" t="e">
        <f>SUM($W$4:W344)/COUNT($W$4:W344)</f>
        <v>#DIV/0!</v>
      </c>
      <c r="Z344" s="469"/>
    </row>
    <row r="345" spans="1:26" x14ac:dyDescent="0.15">
      <c r="A345" s="384">
        <f t="shared" si="100"/>
        <v>343</v>
      </c>
      <c r="B345" s="401">
        <f t="shared" si="103"/>
        <v>40227</v>
      </c>
      <c r="D345" s="390">
        <v>33604.755710000005</v>
      </c>
      <c r="E345" s="387">
        <v>33604.755710000005</v>
      </c>
      <c r="F345" s="387">
        <f t="shared" si="95"/>
        <v>-369.22428999999829</v>
      </c>
      <c r="G345" s="388">
        <f t="shared" si="96"/>
        <v>-1.0867855046715058E-2</v>
      </c>
      <c r="H345" s="387">
        <f t="shared" si="93"/>
        <v>10748.905710000006</v>
      </c>
      <c r="I345" s="388">
        <f t="shared" si="94"/>
        <v>0.47029122565995163</v>
      </c>
      <c r="L345" s="369">
        <v>1109.1699000000001</v>
      </c>
      <c r="M345" s="394">
        <f t="shared" si="106"/>
        <v>3.1296878931275307E-2</v>
      </c>
      <c r="N345" s="394">
        <f t="shared" si="98"/>
        <v>0.19255322122828145</v>
      </c>
      <c r="O345" s="395" t="str">
        <f t="shared" si="99"/>
        <v>No</v>
      </c>
      <c r="P345" s="396">
        <f t="shared" si="101"/>
        <v>0</v>
      </c>
      <c r="Q345" s="394">
        <f>SUM($P$4:P345)/COUNT($P$4:P345)</f>
        <v>0.54093567251461994</v>
      </c>
      <c r="W345" s="396">
        <f t="shared" si="102"/>
        <v>0</v>
      </c>
      <c r="X345" s="394" t="e">
        <f>SUM($W$4:W345)/COUNT($W$4:W345)</f>
        <v>#DIV/0!</v>
      </c>
      <c r="Z345" s="469"/>
    </row>
    <row r="346" spans="1:26" x14ac:dyDescent="0.15">
      <c r="A346" s="384">
        <f t="shared" si="100"/>
        <v>344</v>
      </c>
      <c r="B346" s="401">
        <f t="shared" si="103"/>
        <v>40234</v>
      </c>
      <c r="D346" s="390">
        <f>D345*1.0203</f>
        <v>34286.932250913007</v>
      </c>
      <c r="E346" s="387">
        <f>E345*1.0197</f>
        <v>34266.769397487005</v>
      </c>
      <c r="F346" s="387">
        <f t="shared" si="95"/>
        <v>662.01368748700042</v>
      </c>
      <c r="G346" s="388">
        <f t="shared" si="96"/>
        <v>1.9700000000000051E-2</v>
      </c>
      <c r="H346" s="387">
        <f t="shared" si="93"/>
        <v>11410.919397487007</v>
      </c>
      <c r="I346" s="388">
        <f t="shared" si="94"/>
        <v>0.4992559628054527</v>
      </c>
      <c r="L346" s="369">
        <v>1104.49</v>
      </c>
      <c r="M346" s="394">
        <f t="shared" si="106"/>
        <v>-4.2192814644538279E-3</v>
      </c>
      <c r="N346" s="394">
        <f t="shared" si="98"/>
        <v>0.18752150352657826</v>
      </c>
      <c r="O346" s="395" t="str">
        <f t="shared" si="99"/>
        <v>Yes</v>
      </c>
      <c r="P346" s="396">
        <f t="shared" si="101"/>
        <v>1</v>
      </c>
      <c r="Q346" s="394">
        <f>SUM($P$4:P346)/COUNT($P$4:P346)</f>
        <v>0.54227405247813409</v>
      </c>
      <c r="W346" s="396">
        <f t="shared" si="102"/>
        <v>0</v>
      </c>
      <c r="X346" s="394" t="e">
        <f>SUM($W$4:W346)/COUNT($W$4:W346)</f>
        <v>#DIV/0!</v>
      </c>
      <c r="Z346" s="469"/>
    </row>
    <row r="347" spans="1:26" x14ac:dyDescent="0.15">
      <c r="A347" s="384">
        <f t="shared" si="100"/>
        <v>345</v>
      </c>
      <c r="B347" s="401">
        <f t="shared" si="103"/>
        <v>40241</v>
      </c>
      <c r="D347" s="390">
        <v>34631.429188184753</v>
      </c>
      <c r="E347" s="387">
        <v>34631.429188184753</v>
      </c>
      <c r="F347" s="387">
        <f t="shared" si="95"/>
        <v>364.65979069774767</v>
      </c>
      <c r="G347" s="388">
        <f t="shared" si="96"/>
        <v>1.0641790781843907E-2</v>
      </c>
      <c r="H347" s="387">
        <f t="shared" si="93"/>
        <v>11775.579188184754</v>
      </c>
      <c r="I347" s="388">
        <f t="shared" si="94"/>
        <v>0.51521073109006021</v>
      </c>
      <c r="L347" s="369">
        <v>1138.7</v>
      </c>
      <c r="M347" s="394">
        <f t="shared" si="106"/>
        <v>3.0973571512643794E-2</v>
      </c>
      <c r="N347" s="394">
        <f t="shared" si="98"/>
        <v>0.22430328573886116</v>
      </c>
      <c r="O347" s="395" t="str">
        <f t="shared" si="99"/>
        <v>No</v>
      </c>
      <c r="P347" s="396">
        <f t="shared" si="101"/>
        <v>0</v>
      </c>
      <c r="Q347" s="394">
        <f>SUM($P$4:P347)/COUNT($P$4:P347)</f>
        <v>0.54069767441860461</v>
      </c>
      <c r="W347" s="396">
        <f t="shared" si="102"/>
        <v>0</v>
      </c>
      <c r="X347" s="394" t="e">
        <f>SUM($W$4:W347)/COUNT($W$4:W347)</f>
        <v>#DIV/0!</v>
      </c>
      <c r="Z347" s="469"/>
    </row>
    <row r="348" spans="1:26" x14ac:dyDescent="0.15">
      <c r="A348" s="384">
        <f t="shared" si="100"/>
        <v>346</v>
      </c>
      <c r="B348" s="401">
        <f t="shared" si="103"/>
        <v>40248</v>
      </c>
      <c r="D348" s="390">
        <v>34975.926125456499</v>
      </c>
      <c r="E348" s="387">
        <v>34975.926125456499</v>
      </c>
      <c r="F348" s="387">
        <f t="shared" si="95"/>
        <v>344.49693727174599</v>
      </c>
      <c r="G348" s="388">
        <f t="shared" si="96"/>
        <v>9.9475229682197686E-3</v>
      </c>
      <c r="H348" s="387">
        <f t="shared" si="93"/>
        <v>12120.0761254565</v>
      </c>
      <c r="I348" s="388">
        <f t="shared" si="94"/>
        <v>0.53028332463927175</v>
      </c>
      <c r="L348" s="369">
        <v>1149.99</v>
      </c>
      <c r="M348" s="394">
        <f t="shared" si="106"/>
        <v>9.9148151400720863E-3</v>
      </c>
      <c r="N348" s="394">
        <f t="shared" si="98"/>
        <v>0.2364420264923448</v>
      </c>
      <c r="O348" s="395" t="str">
        <f t="shared" si="99"/>
        <v>Yes</v>
      </c>
      <c r="P348" s="396">
        <f t="shared" si="101"/>
        <v>1</v>
      </c>
      <c r="Q348" s="394">
        <f>SUM($P$4:P348)/COUNT($P$4:P348)</f>
        <v>0.54202898550724643</v>
      </c>
      <c r="W348" s="396">
        <f t="shared" si="102"/>
        <v>0</v>
      </c>
      <c r="X348" s="394" t="e">
        <f>SUM($W$4:W348)/COUNT($W$4:W348)</f>
        <v>#DIV/0!</v>
      </c>
      <c r="Z348" s="469"/>
    </row>
    <row r="349" spans="1:26" x14ac:dyDescent="0.15">
      <c r="A349" s="384">
        <f t="shared" si="100"/>
        <v>347</v>
      </c>
      <c r="B349" s="401">
        <f t="shared" si="103"/>
        <v>40255</v>
      </c>
      <c r="D349" s="390">
        <v>35320.423062728245</v>
      </c>
      <c r="E349" s="387">
        <v>35320.423062728245</v>
      </c>
      <c r="F349" s="387">
        <f t="shared" si="95"/>
        <v>344.49693727174599</v>
      </c>
      <c r="G349" s="388">
        <f t="shared" si="96"/>
        <v>9.8495443990833653E-3</v>
      </c>
      <c r="H349" s="387">
        <f t="shared" si="93"/>
        <v>12464.573062728246</v>
      </c>
      <c r="I349" s="388">
        <f t="shared" si="94"/>
        <v>0.54535591818848328</v>
      </c>
      <c r="L349" s="369">
        <v>1159.9000000000001</v>
      </c>
      <c r="M349" s="394">
        <f t="shared" si="106"/>
        <v>8.6174662388369683E-3</v>
      </c>
      <c r="N349" s="394">
        <f t="shared" si="98"/>
        <v>0.24709702391192168</v>
      </c>
      <c r="O349" s="395" t="str">
        <f t="shared" si="99"/>
        <v>Yes</v>
      </c>
      <c r="P349" s="396">
        <f t="shared" si="101"/>
        <v>1</v>
      </c>
      <c r="Q349" s="394">
        <f>SUM($P$4:P349)/COUNT($P$4:P349)</f>
        <v>0.54335260115606931</v>
      </c>
      <c r="W349" s="396">
        <f t="shared" si="102"/>
        <v>0</v>
      </c>
      <c r="X349" s="394" t="e">
        <f>SUM($W$4:W349)/COUNT($W$4:W349)</f>
        <v>#DIV/0!</v>
      </c>
      <c r="Z349" s="469"/>
    </row>
    <row r="350" spans="1:26" x14ac:dyDescent="0.15">
      <c r="A350" s="384">
        <f t="shared" si="100"/>
        <v>348</v>
      </c>
      <c r="B350" s="401">
        <f t="shared" si="103"/>
        <v>40262</v>
      </c>
      <c r="D350" s="390">
        <v>35664.92</v>
      </c>
      <c r="E350" s="387">
        <v>35664.92</v>
      </c>
      <c r="F350" s="387">
        <f t="shared" si="95"/>
        <v>344.49693727175327</v>
      </c>
      <c r="G350" s="388">
        <f t="shared" si="96"/>
        <v>9.7534770934066817E-3</v>
      </c>
      <c r="H350" s="387">
        <f t="shared" si="93"/>
        <v>12809.07</v>
      </c>
      <c r="I350" s="388">
        <f t="shared" si="94"/>
        <v>0.56042851173769526</v>
      </c>
      <c r="L350" s="369">
        <v>1166.5899999999999</v>
      </c>
      <c r="M350" s="394">
        <f t="shared" si="106"/>
        <v>5.7677385981549367E-3</v>
      </c>
      <c r="N350" s="394">
        <f t="shared" si="98"/>
        <v>0.25428995355238238</v>
      </c>
      <c r="O350" s="395" t="str">
        <f t="shared" si="99"/>
        <v>Yes</v>
      </c>
      <c r="P350" s="396">
        <f t="shared" si="101"/>
        <v>1</v>
      </c>
      <c r="Q350" s="394">
        <f>SUM($P$4:P350)/COUNT($P$4:P350)</f>
        <v>0.54466858789625361</v>
      </c>
      <c r="W350" s="396">
        <f t="shared" si="102"/>
        <v>0</v>
      </c>
      <c r="X350" s="394" t="e">
        <f>SUM($W$4:W350)/COUNT($W$4:W350)</f>
        <v>#DIV/0!</v>
      </c>
      <c r="Z350" s="469"/>
    </row>
    <row r="351" spans="1:26" x14ac:dyDescent="0.15">
      <c r="A351" s="384">
        <f t="shared" si="100"/>
        <v>349</v>
      </c>
      <c r="B351" s="401">
        <f t="shared" si="103"/>
        <v>40269</v>
      </c>
      <c r="D351" s="390">
        <v>35949.420050000001</v>
      </c>
      <c r="E351" s="387">
        <v>35949.420050000001</v>
      </c>
      <c r="F351" s="387">
        <f t="shared" si="95"/>
        <v>284.50005000000237</v>
      </c>
      <c r="G351" s="388">
        <f t="shared" si="96"/>
        <v>7.9770275665838053E-3</v>
      </c>
      <c r="H351" s="387">
        <f t="shared" si="93"/>
        <v>13093.570050000002</v>
      </c>
      <c r="I351" s="388">
        <f t="shared" si="94"/>
        <v>0.57287609299150999</v>
      </c>
      <c r="L351" s="369">
        <v>1178.0999999999999</v>
      </c>
      <c r="M351" s="394">
        <f t="shared" si="106"/>
        <v>9.8663626466881649E-3</v>
      </c>
      <c r="N351" s="394">
        <f t="shared" si="98"/>
        <v>0.26666523309822798</v>
      </c>
      <c r="O351" s="395" t="str">
        <f t="shared" si="99"/>
        <v>No</v>
      </c>
      <c r="P351" s="396">
        <f t="shared" si="101"/>
        <v>0</v>
      </c>
      <c r="Q351" s="394">
        <f>SUM($P$4:P351)/COUNT($P$4:P351)</f>
        <v>0.5431034482758621</v>
      </c>
      <c r="W351" s="396">
        <f t="shared" si="102"/>
        <v>0</v>
      </c>
      <c r="X351" s="394" t="e">
        <f>SUM($W$4:W351)/COUNT($W$4:W351)</f>
        <v>#DIV/0!</v>
      </c>
      <c r="Z351" s="469"/>
    </row>
    <row r="352" spans="1:26" x14ac:dyDescent="0.15">
      <c r="A352" s="384">
        <f t="shared" si="100"/>
        <v>350</v>
      </c>
      <c r="B352" s="401">
        <f t="shared" si="103"/>
        <v>40276</v>
      </c>
      <c r="D352" s="390">
        <v>36168.230000000003</v>
      </c>
      <c r="E352" s="387">
        <v>36168.230000000003</v>
      </c>
      <c r="F352" s="387">
        <f t="shared" si="95"/>
        <v>218.80995000000257</v>
      </c>
      <c r="G352" s="388">
        <f t="shared" si="96"/>
        <v>6.0866058394175582E-3</v>
      </c>
      <c r="H352" s="387">
        <f t="shared" si="93"/>
        <v>13312.380000000005</v>
      </c>
      <c r="I352" s="388">
        <f t="shared" si="94"/>
        <v>0.58244956980379237</v>
      </c>
      <c r="L352" s="369">
        <v>1194.3699999999999</v>
      </c>
      <c r="M352" s="394">
        <f t="shared" si="106"/>
        <v>1.3810372633902057E-2</v>
      </c>
      <c r="N352" s="394">
        <f t="shared" si="98"/>
        <v>0.28415835196972283</v>
      </c>
      <c r="O352" s="395" t="str">
        <f t="shared" si="99"/>
        <v>No</v>
      </c>
      <c r="P352" s="396">
        <f t="shared" si="101"/>
        <v>0</v>
      </c>
      <c r="Q352" s="394">
        <f>SUM($P$4:P352)/COUNT($P$4:P352)</f>
        <v>0.54154727793696278</v>
      </c>
      <c r="W352" s="396">
        <f t="shared" si="102"/>
        <v>0</v>
      </c>
      <c r="X352" s="394" t="e">
        <f>SUM($W$4:W352)/COUNT($W$4:W352)</f>
        <v>#DIV/0!</v>
      </c>
      <c r="Z352" s="469"/>
    </row>
    <row r="353" spans="1:26" x14ac:dyDescent="0.15">
      <c r="A353" s="384">
        <f t="shared" si="100"/>
        <v>351</v>
      </c>
      <c r="B353" s="401">
        <f t="shared" si="103"/>
        <v>40283</v>
      </c>
      <c r="D353" s="390">
        <v>37170.089971000009</v>
      </c>
      <c r="E353" s="387">
        <v>37170.089971000009</v>
      </c>
      <c r="F353" s="387">
        <f t="shared" si="95"/>
        <v>1001.8599710000053</v>
      </c>
      <c r="G353" s="388">
        <f t="shared" si="96"/>
        <v>2.7700000000000058E-2</v>
      </c>
      <c r="H353" s="387">
        <f t="shared" si="93"/>
        <v>14314.23997100001</v>
      </c>
      <c r="I353" s="388">
        <f t="shared" si="94"/>
        <v>0.6262834228873575</v>
      </c>
      <c r="L353" s="369">
        <v>1192.1300000000001</v>
      </c>
      <c r="M353" s="394">
        <f t="shared" ref="M353:M365" si="107">(L353/L352)-1</f>
        <v>-1.8754657267009422E-3</v>
      </c>
      <c r="N353" s="394">
        <f t="shared" si="98"/>
        <v>0.28174995699294691</v>
      </c>
      <c r="O353" s="395" t="str">
        <f t="shared" si="99"/>
        <v>Yes</v>
      </c>
      <c r="P353" s="396">
        <f t="shared" si="101"/>
        <v>1</v>
      </c>
      <c r="Q353" s="394">
        <f>SUM($P$4:P353)/COUNT($P$4:P353)</f>
        <v>0.54285714285714282</v>
      </c>
      <c r="W353" s="396">
        <f t="shared" si="102"/>
        <v>0</v>
      </c>
      <c r="X353" s="394" t="e">
        <f>SUM($W$4:W353)/COUNT($W$4:W353)</f>
        <v>#DIV/0!</v>
      </c>
      <c r="Z353" s="469"/>
    </row>
    <row r="354" spans="1:26" x14ac:dyDescent="0.15">
      <c r="A354" s="384">
        <f t="shared" si="100"/>
        <v>352</v>
      </c>
      <c r="B354" s="401">
        <f t="shared" si="103"/>
        <v>40290</v>
      </c>
      <c r="D354" s="390">
        <v>37247.840579999996</v>
      </c>
      <c r="E354" s="387">
        <v>37247.840579999996</v>
      </c>
      <c r="F354" s="387">
        <f t="shared" si="95"/>
        <v>77.75060899998789</v>
      </c>
      <c r="G354" s="388">
        <f t="shared" si="96"/>
        <v>2.0917519721004307E-3</v>
      </c>
      <c r="H354" s="387">
        <f t="shared" si="93"/>
        <v>14391.990579999998</v>
      </c>
      <c r="I354" s="388">
        <f t="shared" si="94"/>
        <v>0.62968520444437637</v>
      </c>
      <c r="L354" s="369">
        <v>1217.28</v>
      </c>
      <c r="M354" s="394">
        <f t="shared" si="107"/>
        <v>2.1096692474813938E-2</v>
      </c>
      <c r="N354" s="394">
        <f t="shared" si="98"/>
        <v>0.30879064166523307</v>
      </c>
      <c r="O354" s="395" t="str">
        <f t="shared" si="99"/>
        <v>No</v>
      </c>
      <c r="P354" s="396">
        <f t="shared" si="101"/>
        <v>0</v>
      </c>
      <c r="Q354" s="394">
        <f>SUM($P$4:P354)/COUNT($P$4:P354)</f>
        <v>0.54131054131054135</v>
      </c>
      <c r="W354" s="396">
        <f t="shared" si="102"/>
        <v>0</v>
      </c>
      <c r="X354" s="394" t="e">
        <f>SUM($W$4:W354)/COUNT($W$4:W354)</f>
        <v>#DIV/0!</v>
      </c>
      <c r="Z354" s="469"/>
    </row>
    <row r="355" spans="1:26" x14ac:dyDescent="0.15">
      <c r="A355" s="384">
        <f t="shared" si="100"/>
        <v>353</v>
      </c>
      <c r="B355" s="401">
        <f t="shared" si="103"/>
        <v>40297</v>
      </c>
      <c r="D355" s="390">
        <v>36157.851710000003</v>
      </c>
      <c r="E355" s="387">
        <v>36157.851710000003</v>
      </c>
      <c r="F355" s="387">
        <f t="shared" si="95"/>
        <v>-1089.9888699999938</v>
      </c>
      <c r="G355" s="388">
        <f t="shared" si="96"/>
        <v>-2.9263142588331847E-2</v>
      </c>
      <c r="H355" s="387">
        <f t="shared" si="93"/>
        <v>13302.001710000004</v>
      </c>
      <c r="I355" s="388">
        <f t="shared" si="94"/>
        <v>0.58199549393262573</v>
      </c>
      <c r="L355" s="369">
        <v>1186.69</v>
      </c>
      <c r="M355" s="394">
        <f t="shared" si="107"/>
        <v>-2.5129797581493141E-2</v>
      </c>
      <c r="N355" s="394">
        <f t="shared" si="98"/>
        <v>0.2759009977636333</v>
      </c>
      <c r="O355" s="395" t="str">
        <f t="shared" si="99"/>
        <v>No</v>
      </c>
      <c r="P355" s="396">
        <f t="shared" si="101"/>
        <v>0</v>
      </c>
      <c r="Q355" s="394">
        <f>SUM($P$4:P355)/COUNT($P$4:P355)</f>
        <v>0.53977272727272729</v>
      </c>
      <c r="W355" s="396">
        <f t="shared" si="102"/>
        <v>0</v>
      </c>
      <c r="X355" s="394" t="e">
        <f>SUM($W$4:W355)/COUNT($W$4:W355)</f>
        <v>#DIV/0!</v>
      </c>
      <c r="Z355" s="469"/>
    </row>
    <row r="356" spans="1:26" x14ac:dyDescent="0.15">
      <c r="A356" s="384">
        <f t="shared" si="100"/>
        <v>354</v>
      </c>
      <c r="B356" s="401">
        <f t="shared" si="103"/>
        <v>40304</v>
      </c>
      <c r="D356" s="390">
        <v>33356.878120000001</v>
      </c>
      <c r="E356" s="387">
        <v>33356.878120000001</v>
      </c>
      <c r="F356" s="387">
        <f t="shared" si="95"/>
        <v>-2800.9735900000014</v>
      </c>
      <c r="G356" s="388">
        <f t="shared" si="96"/>
        <v>-7.7465155077931502E-2</v>
      </c>
      <c r="H356" s="387">
        <f t="shared" si="93"/>
        <v>10501.028120000003</v>
      </c>
      <c r="I356" s="388">
        <f t="shared" si="94"/>
        <v>0.45944596766254597</v>
      </c>
      <c r="L356" s="369">
        <v>1110.8800000000001</v>
      </c>
      <c r="M356" s="394">
        <f t="shared" si="107"/>
        <v>-6.3883575322957076E-2</v>
      </c>
      <c r="N356" s="394">
        <f t="shared" si="98"/>
        <v>0.19439188026836418</v>
      </c>
      <c r="O356" s="395" t="str">
        <f t="shared" si="99"/>
        <v>No</v>
      </c>
      <c r="P356" s="396">
        <f t="shared" si="101"/>
        <v>0</v>
      </c>
      <c r="Q356" s="394">
        <f>SUM($P$4:P356)/COUNT($P$4:P356)</f>
        <v>0.5382436260623229</v>
      </c>
      <c r="W356" s="396">
        <f t="shared" si="102"/>
        <v>0</v>
      </c>
      <c r="X356" s="394" t="e">
        <f>SUM($W$4:W356)/COUNT($W$4:W356)</f>
        <v>#DIV/0!</v>
      </c>
      <c r="Z356" s="469"/>
    </row>
    <row r="357" spans="1:26" x14ac:dyDescent="0.15">
      <c r="A357" s="384">
        <f t="shared" si="100"/>
        <v>355</v>
      </c>
      <c r="B357" s="401">
        <f t="shared" si="103"/>
        <v>40311</v>
      </c>
      <c r="D357" s="390">
        <v>34501.65</v>
      </c>
      <c r="E357" s="387">
        <v>34501.65</v>
      </c>
      <c r="F357" s="387">
        <f t="shared" si="95"/>
        <v>1144.7718800000002</v>
      </c>
      <c r="G357" s="388">
        <f t="shared" si="96"/>
        <v>3.4318915453710241E-2</v>
      </c>
      <c r="H357" s="387">
        <f t="shared" si="93"/>
        <v>11645.800000000003</v>
      </c>
      <c r="I357" s="388">
        <f t="shared" si="94"/>
        <v>0.50953257043601541</v>
      </c>
      <c r="L357" s="369">
        <v>1135.68</v>
      </c>
      <c r="M357" s="394">
        <f t="shared" si="107"/>
        <v>2.2324643525853283E-2</v>
      </c>
      <c r="N357" s="394">
        <f t="shared" si="98"/>
        <v>0.22105625322552891</v>
      </c>
      <c r="O357" s="395" t="str">
        <f t="shared" si="99"/>
        <v>Yes</v>
      </c>
      <c r="P357" s="396">
        <f t="shared" si="101"/>
        <v>1</v>
      </c>
      <c r="Q357" s="394">
        <f>SUM($P$4:P357)/COUNT($P$4:P357)</f>
        <v>0.53954802259887003</v>
      </c>
      <c r="W357" s="396">
        <f t="shared" si="102"/>
        <v>0</v>
      </c>
      <c r="X357" s="394" t="e">
        <f>SUM($W$4:W357)/COUNT($W$4:W357)</f>
        <v>#DIV/0!</v>
      </c>
      <c r="Z357" s="469"/>
    </row>
    <row r="358" spans="1:26" x14ac:dyDescent="0.15">
      <c r="A358" s="384">
        <f t="shared" si="100"/>
        <v>356</v>
      </c>
      <c r="B358" s="401">
        <f t="shared" si="103"/>
        <v>40318</v>
      </c>
      <c r="D358" s="390">
        <v>33668.19</v>
      </c>
      <c r="E358" s="387">
        <v>33668.19</v>
      </c>
      <c r="F358" s="387">
        <f t="shared" si="95"/>
        <v>-833.45999999999913</v>
      </c>
      <c r="G358" s="388">
        <f t="shared" si="96"/>
        <v>-2.415710552973549E-2</v>
      </c>
      <c r="H358" s="387">
        <f t="shared" si="93"/>
        <v>10812.340000000004</v>
      </c>
      <c r="I358" s="388">
        <f t="shared" si="94"/>
        <v>0.4730666328314197</v>
      </c>
      <c r="L358" s="369">
        <v>1087.69</v>
      </c>
      <c r="M358" s="394">
        <f t="shared" si="107"/>
        <v>-4.2256621583544707E-2</v>
      </c>
      <c r="N358" s="394">
        <f t="shared" si="98"/>
        <v>0.16945854120075698</v>
      </c>
      <c r="O358" s="395" t="str">
        <f t="shared" si="99"/>
        <v>Yes</v>
      </c>
      <c r="P358" s="396">
        <f t="shared" si="101"/>
        <v>1</v>
      </c>
      <c r="Q358" s="394">
        <f>SUM($P$4:P358)/COUNT($P$4:P358)</f>
        <v>0.54084507042253516</v>
      </c>
      <c r="W358" s="396">
        <f t="shared" si="102"/>
        <v>0</v>
      </c>
      <c r="X358" s="394" t="e">
        <f>SUM($W$4:W358)/COUNT($W$4:W358)</f>
        <v>#DIV/0!</v>
      </c>
      <c r="Z358" s="469"/>
    </row>
    <row r="359" spans="1:26" x14ac:dyDescent="0.15">
      <c r="A359" s="384">
        <f t="shared" si="100"/>
        <v>357</v>
      </c>
      <c r="B359" s="401">
        <f t="shared" si="103"/>
        <v>40325</v>
      </c>
      <c r="D359" s="390">
        <v>32834.720000000001</v>
      </c>
      <c r="E359" s="387">
        <v>32834.720000000001</v>
      </c>
      <c r="F359" s="387">
        <f t="shared" si="95"/>
        <v>-833.47000000000116</v>
      </c>
      <c r="G359" s="388">
        <f t="shared" si="96"/>
        <v>-2.4755414532233622E-2</v>
      </c>
      <c r="H359" s="387">
        <f t="shared" si="93"/>
        <v>9978.8700000000026</v>
      </c>
      <c r="I359" s="388">
        <f t="shared" si="94"/>
        <v>0.43660025770207644</v>
      </c>
      <c r="L359" s="369">
        <v>1089.4100000000001</v>
      </c>
      <c r="M359" s="394">
        <f t="shared" si="107"/>
        <v>1.5813329165479395E-3</v>
      </c>
      <c r="N359" s="394">
        <f t="shared" si="98"/>
        <v>0.17130784448649572</v>
      </c>
      <c r="O359" s="395" t="str">
        <f t="shared" si="99"/>
        <v>No</v>
      </c>
      <c r="P359" s="396">
        <f t="shared" si="101"/>
        <v>0</v>
      </c>
      <c r="Q359" s="394">
        <f>SUM($P$4:P359)/COUNT($P$4:P359)</f>
        <v>0.5393258426966292</v>
      </c>
      <c r="W359" s="396">
        <f t="shared" si="102"/>
        <v>0</v>
      </c>
      <c r="X359" s="394" t="e">
        <f>SUM($W$4:W359)/COUNT($W$4:W359)</f>
        <v>#DIV/0!</v>
      </c>
      <c r="Z359" s="469"/>
    </row>
    <row r="360" spans="1:26" x14ac:dyDescent="0.15">
      <c r="A360" s="384">
        <f t="shared" si="100"/>
        <v>358</v>
      </c>
      <c r="B360" s="401">
        <f t="shared" si="103"/>
        <v>40332</v>
      </c>
      <c r="D360" s="390">
        <v>32063.099960000003</v>
      </c>
      <c r="E360" s="387">
        <v>32063.099960000003</v>
      </c>
      <c r="F360" s="387">
        <f t="shared" si="95"/>
        <v>-771.62003999999797</v>
      </c>
      <c r="G360" s="388">
        <f t="shared" si="96"/>
        <v>-2.3500125476934142E-2</v>
      </c>
      <c r="H360" s="387">
        <f t="shared" si="93"/>
        <v>9207.2499600000046</v>
      </c>
      <c r="I360" s="388">
        <f t="shared" si="94"/>
        <v>0.40283997138588168</v>
      </c>
      <c r="L360" s="369">
        <v>1064.8800000000001</v>
      </c>
      <c r="M360" s="394">
        <f t="shared" si="107"/>
        <v>-2.2516775135164924E-2</v>
      </c>
      <c r="N360" s="394">
        <f t="shared" si="98"/>
        <v>0.14493376913813871</v>
      </c>
      <c r="O360" s="395" t="str">
        <f t="shared" si="99"/>
        <v>No</v>
      </c>
      <c r="P360" s="396">
        <f t="shared" si="101"/>
        <v>0</v>
      </c>
      <c r="Q360" s="394">
        <f>SUM($P$4:P360)/COUNT($P$4:P360)</f>
        <v>0.53781512605042014</v>
      </c>
      <c r="W360" s="396">
        <f t="shared" si="102"/>
        <v>0</v>
      </c>
      <c r="X360" s="394" t="e">
        <f>SUM($W$4:W360)/COUNT($W$4:W360)</f>
        <v>#DIV/0!</v>
      </c>
      <c r="Z360" s="469"/>
    </row>
    <row r="361" spans="1:26" x14ac:dyDescent="0.15">
      <c r="A361" s="384">
        <f t="shared" si="100"/>
        <v>359</v>
      </c>
      <c r="B361" s="401">
        <f t="shared" si="103"/>
        <v>40339</v>
      </c>
      <c r="D361" s="390">
        <v>32851.9</v>
      </c>
      <c r="E361" s="387">
        <v>32851.9</v>
      </c>
      <c r="F361" s="387">
        <f t="shared" si="95"/>
        <v>788.80003999999826</v>
      </c>
      <c r="G361" s="388">
        <f t="shared" si="96"/>
        <v>2.4601490217229793E-2</v>
      </c>
      <c r="H361" s="387">
        <f t="shared" ref="H361:H424" si="108">E361-$D$3</f>
        <v>9996.0500000000029</v>
      </c>
      <c r="I361" s="388">
        <f t="shared" ref="I361:I424" si="109">(E361/$D$3)-1</f>
        <v>0.43735192521827027</v>
      </c>
      <c r="L361" s="369">
        <v>1091.5999999999999</v>
      </c>
      <c r="M361" s="394">
        <f t="shared" si="107"/>
        <v>2.5092029148824135E-2</v>
      </c>
      <c r="N361" s="394">
        <f t="shared" si="98"/>
        <v>0.17366248064682588</v>
      </c>
      <c r="O361" s="395" t="str">
        <f t="shared" si="99"/>
        <v>No</v>
      </c>
      <c r="P361" s="396">
        <f t="shared" si="101"/>
        <v>0</v>
      </c>
      <c r="Q361" s="394">
        <f>SUM($P$4:P361)/COUNT($P$4:P361)</f>
        <v>0.53631284916201116</v>
      </c>
      <c r="W361" s="396">
        <f t="shared" si="102"/>
        <v>0</v>
      </c>
      <c r="X361" s="394" t="e">
        <f>SUM($W$4:W361)/COUNT($W$4:W361)</f>
        <v>#DIV/0!</v>
      </c>
      <c r="Z361" s="469"/>
    </row>
    <row r="362" spans="1:26" x14ac:dyDescent="0.15">
      <c r="A362" s="384">
        <f t="shared" si="100"/>
        <v>360</v>
      </c>
      <c r="B362" s="401">
        <f t="shared" si="103"/>
        <v>40346</v>
      </c>
      <c r="D362" s="390">
        <v>33571.410000000003</v>
      </c>
      <c r="E362" s="387">
        <v>33571.410000000003</v>
      </c>
      <c r="F362" s="387">
        <f t="shared" si="95"/>
        <v>719.51000000000204</v>
      </c>
      <c r="G362" s="388">
        <f t="shared" si="96"/>
        <v>2.1901625172364492E-2</v>
      </c>
      <c r="H362" s="387">
        <f t="shared" si="108"/>
        <v>10715.560000000005</v>
      </c>
      <c r="I362" s="388">
        <f t="shared" si="109"/>
        <v>0.46883226832517733</v>
      </c>
      <c r="L362" s="369">
        <v>1117.51</v>
      </c>
      <c r="M362" s="394">
        <f t="shared" si="107"/>
        <v>2.3735800659582251E-2</v>
      </c>
      <c r="N362" s="394">
        <f t="shared" si="98"/>
        <v>0.20152029932908988</v>
      </c>
      <c r="O362" s="395" t="str">
        <f t="shared" si="99"/>
        <v>No</v>
      </c>
      <c r="P362" s="396">
        <f t="shared" si="101"/>
        <v>0</v>
      </c>
      <c r="Q362" s="394">
        <f>SUM($P$4:P362)/COUNT($P$4:P362)</f>
        <v>0.5348189415041783</v>
      </c>
      <c r="W362" s="396">
        <f t="shared" si="102"/>
        <v>0</v>
      </c>
      <c r="X362" s="394" t="e">
        <f>SUM($W$4:W362)/COUNT($W$4:W362)</f>
        <v>#DIV/0!</v>
      </c>
      <c r="Z362" s="469"/>
    </row>
    <row r="363" spans="1:26" x14ac:dyDescent="0.15">
      <c r="A363" s="384">
        <f t="shared" si="100"/>
        <v>361</v>
      </c>
      <c r="B363" s="401">
        <f t="shared" si="103"/>
        <v>40353</v>
      </c>
      <c r="D363" s="390">
        <v>32212.512079999997</v>
      </c>
      <c r="E363" s="387">
        <v>32212.512079999997</v>
      </c>
      <c r="F363" s="387">
        <f t="shared" si="95"/>
        <v>-1358.8979200000067</v>
      </c>
      <c r="G363" s="388">
        <f t="shared" si="96"/>
        <v>-4.0477832774971523E-2</v>
      </c>
      <c r="H363" s="387">
        <f t="shared" si="108"/>
        <v>9356.6620799999982</v>
      </c>
      <c r="I363" s="388">
        <f t="shared" si="109"/>
        <v>0.40937712139342874</v>
      </c>
      <c r="L363" s="369">
        <v>1076.76</v>
      </c>
      <c r="M363" s="394">
        <f t="shared" si="107"/>
        <v>-3.6464998076079835E-2</v>
      </c>
      <c r="N363" s="394">
        <f t="shared" si="98"/>
        <v>0.15770686392568378</v>
      </c>
      <c r="O363" s="395" t="str">
        <f t="shared" si="99"/>
        <v>No</v>
      </c>
      <c r="P363" s="396">
        <f t="shared" si="101"/>
        <v>0</v>
      </c>
      <c r="Q363" s="394">
        <f>SUM($P$4:P363)/COUNT($P$4:P363)</f>
        <v>0.53333333333333333</v>
      </c>
      <c r="W363" s="396">
        <f t="shared" si="102"/>
        <v>0</v>
      </c>
      <c r="X363" s="394" t="e">
        <f>SUM($W$4:W363)/COUNT($W$4:W363)</f>
        <v>#DIV/0!</v>
      </c>
      <c r="Z363" s="469"/>
    </row>
    <row r="364" spans="1:26" x14ac:dyDescent="0.15">
      <c r="A364" s="384">
        <f t="shared" si="100"/>
        <v>362</v>
      </c>
      <c r="B364" s="401">
        <f t="shared" si="103"/>
        <v>40360</v>
      </c>
      <c r="D364" s="390">
        <v>32373.987929999999</v>
      </c>
      <c r="E364" s="387">
        <v>32373.987929999999</v>
      </c>
      <c r="F364" s="387">
        <f t="shared" si="95"/>
        <v>161.47585000000254</v>
      </c>
      <c r="G364" s="388">
        <f t="shared" si="96"/>
        <v>5.0128300953051763E-3</v>
      </c>
      <c r="H364" s="387">
        <f t="shared" si="108"/>
        <v>9518.1379300000008</v>
      </c>
      <c r="I364" s="388">
        <f t="shared" si="109"/>
        <v>0.41644208944318417</v>
      </c>
      <c r="L364" s="369">
        <v>1022.58</v>
      </c>
      <c r="M364" s="394">
        <f t="shared" si="107"/>
        <v>-5.0317619525242385E-2</v>
      </c>
      <c r="N364" s="394">
        <f t="shared" si="98"/>
        <v>9.9453810424909639E-2</v>
      </c>
      <c r="O364" s="395" t="str">
        <f t="shared" si="99"/>
        <v>Yes</v>
      </c>
      <c r="P364" s="396">
        <f t="shared" si="101"/>
        <v>1</v>
      </c>
      <c r="Q364" s="394">
        <f>SUM($P$4:P364)/COUNT($P$4:P364)</f>
        <v>0.53462603878116344</v>
      </c>
      <c r="W364" s="396">
        <f t="shared" si="102"/>
        <v>0</v>
      </c>
      <c r="X364" s="394" t="e">
        <f>SUM($W$4:W364)/COUNT($W$4:W364)</f>
        <v>#DIV/0!</v>
      </c>
      <c r="Z364" s="469"/>
    </row>
    <row r="365" spans="1:26" x14ac:dyDescent="0.15">
      <c r="A365" s="384">
        <f t="shared" si="100"/>
        <v>363</v>
      </c>
      <c r="B365" s="401">
        <f t="shared" si="103"/>
        <v>40367</v>
      </c>
      <c r="D365" s="390">
        <v>32912.164449999997</v>
      </c>
      <c r="E365" s="387">
        <v>32912.164449999997</v>
      </c>
      <c r="F365" s="387">
        <f t="shared" si="95"/>
        <v>538.17651999999725</v>
      </c>
      <c r="G365" s="388">
        <f t="shared" si="96"/>
        <v>1.6623732644975853E-2</v>
      </c>
      <c r="H365" s="387">
        <f t="shared" si="108"/>
        <v>10056.314449999998</v>
      </c>
      <c r="I365" s="388">
        <f t="shared" si="109"/>
        <v>0.43998864404517879</v>
      </c>
      <c r="L365" s="369">
        <v>1077.96</v>
      </c>
      <c r="M365" s="394">
        <f t="shared" si="107"/>
        <v>5.4157131960335558E-2</v>
      </c>
      <c r="N365" s="394">
        <f t="shared" si="98"/>
        <v>0.15899707552038533</v>
      </c>
      <c r="O365" s="395" t="str">
        <f t="shared" si="99"/>
        <v>No</v>
      </c>
      <c r="P365" s="396">
        <f t="shared" si="101"/>
        <v>0</v>
      </c>
      <c r="Q365" s="394">
        <f>SUM($P$4:P365)/COUNT($P$4:P365)</f>
        <v>0.53314917127071826</v>
      </c>
      <c r="W365" s="396">
        <f t="shared" si="102"/>
        <v>0</v>
      </c>
      <c r="X365" s="394" t="e">
        <f>SUM($W$4:W365)/COUNT($W$4:W365)</f>
        <v>#DIV/0!</v>
      </c>
      <c r="Z365" s="469"/>
    </row>
    <row r="366" spans="1:26" x14ac:dyDescent="0.15">
      <c r="A366" s="384">
        <f t="shared" si="100"/>
        <v>364</v>
      </c>
      <c r="B366" s="401">
        <f t="shared" si="103"/>
        <v>40374</v>
      </c>
      <c r="D366" s="390">
        <v>33023.502699999997</v>
      </c>
      <c r="E366" s="387">
        <v>33023.502699999997</v>
      </c>
      <c r="F366" s="387">
        <f t="shared" si="95"/>
        <v>111.3382500000007</v>
      </c>
      <c r="G366" s="388">
        <f t="shared" si="96"/>
        <v>3.3828905470238979E-3</v>
      </c>
      <c r="H366" s="387">
        <f t="shared" si="108"/>
        <v>10167.652699999999</v>
      </c>
      <c r="I366" s="388">
        <f t="shared" si="109"/>
        <v>0.44485996801694094</v>
      </c>
      <c r="L366" s="369">
        <v>1064.8800000000001</v>
      </c>
      <c r="M366" s="394">
        <f t="shared" ref="M366:M376" si="110">(L366/L365)-1</f>
        <v>-1.2134030947344887E-2</v>
      </c>
      <c r="N366" s="394">
        <f t="shared" si="98"/>
        <v>0.14493376913813871</v>
      </c>
      <c r="O366" s="395" t="str">
        <f t="shared" si="99"/>
        <v>Yes</v>
      </c>
      <c r="P366" s="396">
        <f t="shared" si="101"/>
        <v>1</v>
      </c>
      <c r="Q366" s="394">
        <f>SUM($P$4:P366)/COUNT($P$4:P366)</f>
        <v>0.53443526170798894</v>
      </c>
      <c r="W366" s="396">
        <f t="shared" si="102"/>
        <v>0</v>
      </c>
      <c r="X366" s="394" t="e">
        <f>SUM($W$4:W366)/COUNT($W$4:W366)</f>
        <v>#DIV/0!</v>
      </c>
      <c r="Z366" s="469"/>
    </row>
    <row r="367" spans="1:26" x14ac:dyDescent="0.15">
      <c r="A367" s="384">
        <f t="shared" si="100"/>
        <v>365</v>
      </c>
      <c r="B367" s="401">
        <f t="shared" si="103"/>
        <v>40381</v>
      </c>
      <c r="D367" s="390">
        <v>33186.488100000002</v>
      </c>
      <c r="E367" s="387">
        <v>33186.488100000002</v>
      </c>
      <c r="F367" s="387">
        <f t="shared" ref="F367:F430" si="111">E367-E366</f>
        <v>162.98540000000503</v>
      </c>
      <c r="G367" s="388">
        <f t="shared" ref="G367:G430" si="112">(E367/E366)-1</f>
        <v>4.9354364823330776E-3</v>
      </c>
      <c r="H367" s="387">
        <f t="shared" si="108"/>
        <v>10330.638100000004</v>
      </c>
      <c r="I367" s="388">
        <f t="shared" si="109"/>
        <v>0.45199098261495441</v>
      </c>
      <c r="L367" s="369">
        <v>1102.6600000000001</v>
      </c>
      <c r="M367" s="394">
        <f t="shared" si="110"/>
        <v>3.5478175944707369E-2</v>
      </c>
      <c r="N367" s="394">
        <f t="shared" si="98"/>
        <v>0.18555393084465854</v>
      </c>
      <c r="O367" s="395" t="str">
        <f t="shared" si="99"/>
        <v>No</v>
      </c>
      <c r="P367" s="396">
        <f t="shared" si="101"/>
        <v>0</v>
      </c>
      <c r="Q367" s="394">
        <f>SUM($P$4:P367)/COUNT($P$4:P367)</f>
        <v>0.53296703296703296</v>
      </c>
      <c r="W367" s="396">
        <f t="shared" si="102"/>
        <v>0</v>
      </c>
      <c r="X367" s="394" t="e">
        <f>SUM($W$4:W367)/COUNT($W$4:W367)</f>
        <v>#DIV/0!</v>
      </c>
      <c r="Z367" s="469"/>
    </row>
    <row r="368" spans="1:26" x14ac:dyDescent="0.15">
      <c r="A368" s="384">
        <f t="shared" si="100"/>
        <v>366</v>
      </c>
      <c r="B368" s="401">
        <f t="shared" si="103"/>
        <v>40388</v>
      </c>
      <c r="D368" s="390">
        <v>33760.091820000001</v>
      </c>
      <c r="E368" s="387">
        <v>33760.091820000001</v>
      </c>
      <c r="F368" s="387">
        <f t="shared" si="111"/>
        <v>573.60371999999916</v>
      </c>
      <c r="G368" s="388">
        <f t="shared" si="112"/>
        <v>1.7284254913372488E-2</v>
      </c>
      <c r="H368" s="387">
        <f t="shared" si="108"/>
        <v>10904.241820000003</v>
      </c>
      <c r="I368" s="388">
        <f t="shared" si="109"/>
        <v>0.47708756489038917</v>
      </c>
      <c r="L368" s="369">
        <v>1101.5999999999999</v>
      </c>
      <c r="M368" s="394">
        <f t="shared" si="110"/>
        <v>-9.6131173707236783E-4</v>
      </c>
      <c r="N368" s="394">
        <f t="shared" si="98"/>
        <v>0.18441424393600525</v>
      </c>
      <c r="O368" s="395" t="str">
        <f t="shared" si="99"/>
        <v>Yes</v>
      </c>
      <c r="P368" s="396">
        <f t="shared" si="101"/>
        <v>1</v>
      </c>
      <c r="Q368" s="394">
        <f>SUM($P$4:P368)/COUNT($P$4:P368)</f>
        <v>0.53424657534246578</v>
      </c>
      <c r="W368" s="396">
        <f t="shared" si="102"/>
        <v>0</v>
      </c>
      <c r="X368" s="394" t="e">
        <f>SUM($W$4:W368)/COUNT($W$4:W368)</f>
        <v>#DIV/0!</v>
      </c>
      <c r="Z368" s="469"/>
    </row>
    <row r="369" spans="1:26" x14ac:dyDescent="0.15">
      <c r="A369" s="384">
        <f t="shared" si="100"/>
        <v>367</v>
      </c>
      <c r="B369" s="401">
        <f t="shared" si="103"/>
        <v>40395</v>
      </c>
      <c r="D369" s="390">
        <v>32915.919999999998</v>
      </c>
      <c r="E369" s="387">
        <v>32915.919999999998</v>
      </c>
      <c r="F369" s="387">
        <f t="shared" si="111"/>
        <v>-844.17182000000321</v>
      </c>
      <c r="G369" s="388">
        <f t="shared" si="112"/>
        <v>-2.5005021446650844E-2</v>
      </c>
      <c r="H369" s="387">
        <f t="shared" si="108"/>
        <v>10060.07</v>
      </c>
      <c r="I369" s="388">
        <f t="shared" si="109"/>
        <v>0.44015295865172366</v>
      </c>
      <c r="L369" s="369">
        <v>1121.6400000000001</v>
      </c>
      <c r="M369" s="394">
        <f t="shared" si="110"/>
        <v>1.8191721132897687E-2</v>
      </c>
      <c r="N369" s="394">
        <f t="shared" si="98"/>
        <v>0.20596077756752118</v>
      </c>
      <c r="O369" s="395" t="str">
        <f t="shared" si="99"/>
        <v>No</v>
      </c>
      <c r="P369" s="396">
        <f t="shared" si="101"/>
        <v>0</v>
      </c>
      <c r="Q369" s="394">
        <f>SUM($P$4:P369)/COUNT($P$4:P369)</f>
        <v>0.53278688524590168</v>
      </c>
      <c r="W369" s="396">
        <f t="shared" si="102"/>
        <v>0</v>
      </c>
      <c r="X369" s="394" t="e">
        <f>SUM($W$4:W369)/COUNT($W$4:W369)</f>
        <v>#DIV/0!</v>
      </c>
      <c r="Z369" s="469"/>
    </row>
    <row r="370" spans="1:26" x14ac:dyDescent="0.15">
      <c r="A370" s="384">
        <f t="shared" si="100"/>
        <v>368</v>
      </c>
      <c r="B370" s="401">
        <f t="shared" si="103"/>
        <v>40402</v>
      </c>
      <c r="D370" s="390">
        <v>32071.74</v>
      </c>
      <c r="E370" s="387">
        <v>32071.74</v>
      </c>
      <c r="F370" s="387">
        <f t="shared" si="111"/>
        <v>-844.17999999999665</v>
      </c>
      <c r="G370" s="388">
        <f t="shared" si="112"/>
        <v>-2.564655643834346E-2</v>
      </c>
      <c r="H370" s="387">
        <f t="shared" si="108"/>
        <v>9215.8900000000031</v>
      </c>
      <c r="I370" s="388">
        <f t="shared" si="109"/>
        <v>0.40321799451781515</v>
      </c>
      <c r="L370" s="369">
        <v>1079.25</v>
      </c>
      <c r="M370" s="394">
        <f t="shared" si="110"/>
        <v>-3.7792874719161262E-2</v>
      </c>
      <c r="N370" s="394">
        <f t="shared" si="98"/>
        <v>0.16038405298468938</v>
      </c>
      <c r="O370" s="395" t="str">
        <f t="shared" si="99"/>
        <v>Yes</v>
      </c>
      <c r="P370" s="396">
        <f t="shared" si="101"/>
        <v>1</v>
      </c>
      <c r="Q370" s="394">
        <f>SUM($P$4:P370)/COUNT($P$4:P370)</f>
        <v>0.5340599455040872</v>
      </c>
      <c r="W370" s="396">
        <f t="shared" si="102"/>
        <v>0</v>
      </c>
      <c r="X370" s="394" t="e">
        <f>SUM($W$4:W370)/COUNT($W$4:W370)</f>
        <v>#DIV/0!</v>
      </c>
      <c r="Z370" s="469"/>
    </row>
    <row r="371" spans="1:26" x14ac:dyDescent="0.15">
      <c r="A371" s="384">
        <f t="shared" si="100"/>
        <v>369</v>
      </c>
      <c r="B371" s="401">
        <f t="shared" si="103"/>
        <v>40409</v>
      </c>
      <c r="D371" s="390">
        <v>31227.568719999996</v>
      </c>
      <c r="E371" s="387">
        <v>31227.568719999996</v>
      </c>
      <c r="F371" s="387">
        <f t="shared" si="111"/>
        <v>-844.17128000000594</v>
      </c>
      <c r="G371" s="388">
        <f t="shared" si="112"/>
        <v>-2.6321343338403413E-2</v>
      </c>
      <c r="H371" s="387">
        <f t="shared" si="108"/>
        <v>8371.7187199999971</v>
      </c>
      <c r="I371" s="388">
        <f t="shared" si="109"/>
        <v>0.36628341190548586</v>
      </c>
      <c r="L371" s="369">
        <v>1071.69</v>
      </c>
      <c r="M371" s="394">
        <f t="shared" si="110"/>
        <v>-7.0048644892285461E-3</v>
      </c>
      <c r="N371" s="394">
        <f t="shared" si="98"/>
        <v>0.15225571993806986</v>
      </c>
      <c r="O371" s="395" t="str">
        <f t="shared" si="99"/>
        <v>No</v>
      </c>
      <c r="P371" s="396">
        <f t="shared" si="101"/>
        <v>0</v>
      </c>
      <c r="Q371" s="394">
        <f>SUM($P$4:P371)/COUNT($P$4:P371)</f>
        <v>0.53260869565217395</v>
      </c>
      <c r="W371" s="396">
        <f t="shared" si="102"/>
        <v>0</v>
      </c>
      <c r="X371" s="394" t="e">
        <f>SUM($W$4:W371)/COUNT($W$4:W371)</f>
        <v>#DIV/0!</v>
      </c>
      <c r="Z371" s="469"/>
    </row>
    <row r="372" spans="1:26" x14ac:dyDescent="0.15">
      <c r="A372" s="384">
        <f t="shared" si="100"/>
        <v>370</v>
      </c>
      <c r="B372" s="401">
        <f t="shared" si="103"/>
        <v>40416</v>
      </c>
      <c r="D372" s="390">
        <v>33051.66921</v>
      </c>
      <c r="E372" s="387">
        <v>33051.66921</v>
      </c>
      <c r="F372" s="387">
        <f t="shared" si="111"/>
        <v>1824.1004900000044</v>
      </c>
      <c r="G372" s="388">
        <f t="shared" si="112"/>
        <v>5.8413144691336294E-2</v>
      </c>
      <c r="H372" s="387">
        <f t="shared" si="108"/>
        <v>10195.819210000001</v>
      </c>
      <c r="I372" s="388">
        <f t="shared" si="109"/>
        <v>0.44609232253449349</v>
      </c>
      <c r="L372" s="369">
        <v>1064.5899999999999</v>
      </c>
      <c r="M372" s="394">
        <f t="shared" si="110"/>
        <v>-6.6250501544291573E-3</v>
      </c>
      <c r="N372" s="394">
        <f t="shared" si="98"/>
        <v>0.14462196800275229</v>
      </c>
      <c r="O372" s="395" t="str">
        <f t="shared" si="99"/>
        <v>Yes</v>
      </c>
      <c r="P372" s="396">
        <f t="shared" si="101"/>
        <v>1</v>
      </c>
      <c r="Q372" s="394">
        <f>SUM($P$4:P372)/COUNT($P$4:P372)</f>
        <v>0.53387533875338755</v>
      </c>
      <c r="W372" s="396">
        <f t="shared" si="102"/>
        <v>0</v>
      </c>
      <c r="X372" s="394" t="e">
        <f>SUM($W$4:W372)/COUNT($W$4:W372)</f>
        <v>#DIV/0!</v>
      </c>
      <c r="Z372" s="469"/>
    </row>
    <row r="373" spans="1:26" x14ac:dyDescent="0.15">
      <c r="A373" s="384">
        <f t="shared" si="100"/>
        <v>371</v>
      </c>
      <c r="B373" s="401">
        <f t="shared" si="103"/>
        <v>40423</v>
      </c>
      <c r="D373" s="390">
        <v>32880.08365</v>
      </c>
      <c r="E373" s="387">
        <v>32880.08365</v>
      </c>
      <c r="F373" s="387">
        <f t="shared" si="111"/>
        <v>-171.58555999999953</v>
      </c>
      <c r="G373" s="388">
        <f t="shared" si="112"/>
        <v>-5.1914340213742305E-3</v>
      </c>
      <c r="H373" s="387">
        <f t="shared" si="108"/>
        <v>10024.233650000002</v>
      </c>
      <c r="I373" s="388">
        <f t="shared" si="109"/>
        <v>0.43858502965323987</v>
      </c>
      <c r="L373" s="369">
        <v>1104.51</v>
      </c>
      <c r="M373" s="394">
        <f t="shared" si="110"/>
        <v>3.7498003926394352E-2</v>
      </c>
      <c r="N373" s="394">
        <f t="shared" si="98"/>
        <v>0.18754300705315674</v>
      </c>
      <c r="O373" s="395" t="str">
        <f t="shared" si="99"/>
        <v>No</v>
      </c>
      <c r="P373" s="396">
        <f t="shared" si="101"/>
        <v>0</v>
      </c>
      <c r="Q373" s="394">
        <f>SUM($P$4:P373)/COUNT($P$4:P373)</f>
        <v>0.53243243243243243</v>
      </c>
      <c r="W373" s="396">
        <f t="shared" si="102"/>
        <v>0</v>
      </c>
      <c r="X373" s="394" t="e">
        <f>SUM($W$4:W373)/COUNT($W$4:W373)</f>
        <v>#DIV/0!</v>
      </c>
      <c r="Z373" s="469"/>
    </row>
    <row r="374" spans="1:26" x14ac:dyDescent="0.15">
      <c r="A374" s="384">
        <f t="shared" si="100"/>
        <v>372</v>
      </c>
      <c r="B374" s="401">
        <f t="shared" si="103"/>
        <v>40430</v>
      </c>
      <c r="D374" s="390">
        <v>33162.777199999997</v>
      </c>
      <c r="E374" s="387">
        <v>33162.777199999997</v>
      </c>
      <c r="F374" s="387">
        <f t="shared" si="111"/>
        <v>282.69354999999632</v>
      </c>
      <c r="G374" s="388">
        <f t="shared" si="112"/>
        <v>8.5977138321542412E-3</v>
      </c>
      <c r="H374" s="387">
        <f t="shared" si="108"/>
        <v>10306.927199999998</v>
      </c>
      <c r="I374" s="388">
        <f t="shared" si="109"/>
        <v>0.45095357206141973</v>
      </c>
      <c r="L374" s="369">
        <v>1109.55</v>
      </c>
      <c r="M374" s="394">
        <f t="shared" si="110"/>
        <v>4.5631094331421984E-3</v>
      </c>
      <c r="N374" s="394">
        <f t="shared" si="98"/>
        <v>0.19296189575090295</v>
      </c>
      <c r="O374" s="395" t="str">
        <f t="shared" si="99"/>
        <v>Yes</v>
      </c>
      <c r="P374" s="396">
        <f t="shared" si="101"/>
        <v>1</v>
      </c>
      <c r="Q374" s="394">
        <f>SUM($P$4:P374)/COUNT($P$4:P374)</f>
        <v>0.53369272237196763</v>
      </c>
      <c r="W374" s="396">
        <f t="shared" si="102"/>
        <v>0</v>
      </c>
      <c r="X374" s="394" t="e">
        <f>SUM($W$4:W374)/COUNT($W$4:W374)</f>
        <v>#DIV/0!</v>
      </c>
      <c r="Z374" s="469"/>
    </row>
    <row r="375" spans="1:26" x14ac:dyDescent="0.15">
      <c r="A375" s="384">
        <f t="shared" si="100"/>
        <v>373</v>
      </c>
      <c r="B375" s="401">
        <f t="shared" si="103"/>
        <v>40437</v>
      </c>
      <c r="D375" s="390">
        <v>32802.641459999999</v>
      </c>
      <c r="E375" s="387">
        <v>32802.641459999999</v>
      </c>
      <c r="F375" s="387">
        <f t="shared" si="111"/>
        <v>-360.1357399999979</v>
      </c>
      <c r="G375" s="388">
        <f t="shared" si="112"/>
        <v>-1.0859637533613964E-2</v>
      </c>
      <c r="H375" s="387">
        <f t="shared" si="108"/>
        <v>9946.7914600000004</v>
      </c>
      <c r="I375" s="388">
        <f t="shared" si="109"/>
        <v>0.43519674219073012</v>
      </c>
      <c r="L375" s="369">
        <v>1125.5899999999999</v>
      </c>
      <c r="M375" s="394">
        <f t="shared" si="110"/>
        <v>1.4456311117119425E-2</v>
      </c>
      <c r="N375" s="394">
        <f t="shared" si="98"/>
        <v>0.21020772406674681</v>
      </c>
      <c r="O375" s="395" t="str">
        <f t="shared" si="99"/>
        <v>No</v>
      </c>
      <c r="P375" s="396">
        <f t="shared" si="101"/>
        <v>0</v>
      </c>
      <c r="Q375" s="394">
        <f>SUM($P$4:P375)/COUNT($P$4:P375)</f>
        <v>0.532258064516129</v>
      </c>
      <c r="W375" s="396">
        <f t="shared" si="102"/>
        <v>0</v>
      </c>
      <c r="X375" s="394" t="e">
        <f>SUM($W$4:W375)/COUNT($W$4:W375)</f>
        <v>#DIV/0!</v>
      </c>
      <c r="Z375" s="469"/>
    </row>
    <row r="376" spans="1:26" x14ac:dyDescent="0.15">
      <c r="A376" s="384">
        <f t="shared" si="100"/>
        <v>374</v>
      </c>
      <c r="B376" s="401">
        <f t="shared" si="103"/>
        <v>40444</v>
      </c>
      <c r="D376" s="390">
        <v>33327.527240000003</v>
      </c>
      <c r="E376" s="387">
        <v>33327.527240000003</v>
      </c>
      <c r="F376" s="387">
        <f t="shared" si="111"/>
        <v>524.88578000000416</v>
      </c>
      <c r="G376" s="388">
        <f t="shared" si="112"/>
        <v>1.600132661999365E-2</v>
      </c>
      <c r="H376" s="387">
        <f t="shared" si="108"/>
        <v>10471.677240000005</v>
      </c>
      <c r="I376" s="388">
        <f t="shared" si="109"/>
        <v>0.45816179402647483</v>
      </c>
      <c r="L376" s="369">
        <v>1148.67</v>
      </c>
      <c r="M376" s="394">
        <f t="shared" si="110"/>
        <v>2.0504801926101157E-2</v>
      </c>
      <c r="N376" s="394">
        <f t="shared" si="98"/>
        <v>0.23502279373817303</v>
      </c>
      <c r="O376" s="395" t="str">
        <f t="shared" si="99"/>
        <v>No</v>
      </c>
      <c r="P376" s="396">
        <f t="shared" si="101"/>
        <v>0</v>
      </c>
      <c r="Q376" s="394">
        <f>SUM($P$4:P376)/COUNT($P$4:P376)</f>
        <v>0.53083109919571048</v>
      </c>
      <c r="W376" s="396">
        <f t="shared" si="102"/>
        <v>0</v>
      </c>
      <c r="X376" s="394" t="e">
        <f>SUM($W$4:W376)/COUNT($W$4:W376)</f>
        <v>#DIV/0!</v>
      </c>
      <c r="Z376" s="469"/>
    </row>
    <row r="377" spans="1:26" x14ac:dyDescent="0.15">
      <c r="A377" s="384">
        <f t="shared" si="100"/>
        <v>375</v>
      </c>
      <c r="B377" s="401">
        <f t="shared" si="103"/>
        <v>40451</v>
      </c>
      <c r="D377" s="390">
        <v>33500.400529999999</v>
      </c>
      <c r="E377" s="387">
        <v>33500.400529999999</v>
      </c>
      <c r="F377" s="387">
        <f t="shared" si="111"/>
        <v>172.8732899999959</v>
      </c>
      <c r="G377" s="388">
        <f t="shared" si="112"/>
        <v>5.1871022039855497E-3</v>
      </c>
      <c r="H377" s="387">
        <f t="shared" si="108"/>
        <v>10644.55053</v>
      </c>
      <c r="I377" s="388">
        <f t="shared" si="109"/>
        <v>0.46572542828203733</v>
      </c>
      <c r="L377" s="369">
        <v>1146.24</v>
      </c>
      <c r="M377" s="394">
        <f t="shared" ref="M377:M384" si="113">(L377/L376)-1</f>
        <v>-2.1154900885372863E-3</v>
      </c>
      <c r="N377" s="394">
        <f t="shared" si="98"/>
        <v>0.23241011525890243</v>
      </c>
      <c r="O377" s="395" t="str">
        <f t="shared" si="99"/>
        <v>Yes</v>
      </c>
      <c r="P377" s="396">
        <f t="shared" si="101"/>
        <v>1</v>
      </c>
      <c r="Q377" s="394">
        <f>SUM($P$4:P377)/COUNT($P$4:P377)</f>
        <v>0.53208556149732622</v>
      </c>
      <c r="W377" s="396">
        <f t="shared" si="102"/>
        <v>0</v>
      </c>
      <c r="X377" s="394" t="e">
        <f>SUM($W$4:W377)/COUNT($W$4:W377)</f>
        <v>#DIV/0!</v>
      </c>
      <c r="Z377" s="469"/>
    </row>
    <row r="378" spans="1:26" x14ac:dyDescent="0.15">
      <c r="A378" s="384">
        <f t="shared" si="100"/>
        <v>376</v>
      </c>
      <c r="B378" s="401">
        <f t="shared" si="103"/>
        <v>40458</v>
      </c>
      <c r="D378" s="390">
        <v>34145.30171</v>
      </c>
      <c r="E378" s="387">
        <v>34145.30171</v>
      </c>
      <c r="F378" s="387">
        <f t="shared" si="111"/>
        <v>644.90118000000075</v>
      </c>
      <c r="G378" s="388">
        <f t="shared" si="112"/>
        <v>1.9250551330647125E-2</v>
      </c>
      <c r="H378" s="387">
        <f t="shared" si="108"/>
        <v>11289.451710000001</v>
      </c>
      <c r="I378" s="388">
        <f t="shared" si="109"/>
        <v>0.49394145087581531</v>
      </c>
      <c r="L378" s="369">
        <v>1165.1500000000001</v>
      </c>
      <c r="M378" s="394">
        <f t="shared" si="113"/>
        <v>1.6497417643774437E-2</v>
      </c>
      <c r="N378" s="394">
        <f t="shared" si="98"/>
        <v>0.25274169963874082</v>
      </c>
      <c r="O378" s="395" t="str">
        <f t="shared" si="99"/>
        <v>Yes</v>
      </c>
      <c r="P378" s="396">
        <f t="shared" si="101"/>
        <v>1</v>
      </c>
      <c r="Q378" s="394">
        <f>SUM($P$4:P378)/COUNT($P$4:P378)</f>
        <v>0.53333333333333333</v>
      </c>
      <c r="W378" s="396">
        <f t="shared" si="102"/>
        <v>0</v>
      </c>
      <c r="X378" s="394" t="e">
        <f>SUM($W$4:W378)/COUNT($W$4:W378)</f>
        <v>#DIV/0!</v>
      </c>
      <c r="Z378" s="469"/>
    </row>
    <row r="379" spans="1:26" x14ac:dyDescent="0.15">
      <c r="A379" s="384">
        <f t="shared" si="100"/>
        <v>377</v>
      </c>
      <c r="B379" s="401">
        <f t="shared" si="103"/>
        <v>40465</v>
      </c>
      <c r="D379" s="390">
        <v>34360.598129999998</v>
      </c>
      <c r="E379" s="387">
        <v>34360.598129999998</v>
      </c>
      <c r="F379" s="387">
        <f t="shared" si="111"/>
        <v>215.29641999999876</v>
      </c>
      <c r="G379" s="388">
        <f t="shared" si="112"/>
        <v>6.3053014387906003E-3</v>
      </c>
      <c r="H379" s="387">
        <f t="shared" si="108"/>
        <v>11504.74813</v>
      </c>
      <c r="I379" s="388">
        <f t="shared" si="109"/>
        <v>0.5033612020554914</v>
      </c>
      <c r="L379" s="369">
        <v>1176.19</v>
      </c>
      <c r="M379" s="394">
        <f t="shared" si="113"/>
        <v>9.4751748701884519E-3</v>
      </c>
      <c r="N379" s="394">
        <f t="shared" si="98"/>
        <v>0.26461164630999479</v>
      </c>
      <c r="O379" s="395" t="str">
        <f t="shared" si="99"/>
        <v>No</v>
      </c>
      <c r="P379" s="396">
        <f t="shared" si="101"/>
        <v>0</v>
      </c>
      <c r="Q379" s="394">
        <f>SUM($P$4:P379)/COUNT($P$4:P379)</f>
        <v>0.53191489361702127</v>
      </c>
      <c r="W379" s="396">
        <f t="shared" si="102"/>
        <v>0</v>
      </c>
      <c r="X379" s="394" t="e">
        <f>SUM($W$4:W379)/COUNT($W$4:W379)</f>
        <v>#DIV/0!</v>
      </c>
      <c r="Z379" s="469"/>
    </row>
    <row r="380" spans="1:26" x14ac:dyDescent="0.15">
      <c r="A380" s="384">
        <f t="shared" si="100"/>
        <v>378</v>
      </c>
      <c r="B380" s="401">
        <f t="shared" si="103"/>
        <v>40472</v>
      </c>
      <c r="D380" s="390">
        <v>34100</v>
      </c>
      <c r="E380" s="387">
        <v>34100</v>
      </c>
      <c r="F380" s="387">
        <f t="shared" si="111"/>
        <v>-260.59812999999849</v>
      </c>
      <c r="G380" s="388">
        <f t="shared" si="112"/>
        <v>-7.5842140178715711E-3</v>
      </c>
      <c r="H380" s="387">
        <f t="shared" si="108"/>
        <v>11244.150000000001</v>
      </c>
      <c r="I380" s="388">
        <f t="shared" si="109"/>
        <v>0.49195938895293767</v>
      </c>
      <c r="L380" s="369">
        <v>1183.08</v>
      </c>
      <c r="M380" s="394">
        <f t="shared" si="113"/>
        <v>5.8578971084601861E-3</v>
      </c>
      <c r="N380" s="394">
        <f t="shared" si="98"/>
        <v>0.27201961121623941</v>
      </c>
      <c r="O380" s="395" t="str">
        <f t="shared" si="99"/>
        <v>No</v>
      </c>
      <c r="P380" s="396">
        <f t="shared" si="101"/>
        <v>0</v>
      </c>
      <c r="Q380" s="394">
        <f>SUM($P$4:P380)/COUNT($P$4:P380)</f>
        <v>0.5305039787798409</v>
      </c>
      <c r="W380" s="396">
        <f t="shared" si="102"/>
        <v>0</v>
      </c>
      <c r="X380" s="394" t="e">
        <f>SUM($W$4:W380)/COUNT($W$4:W380)</f>
        <v>#DIV/0!</v>
      </c>
      <c r="Z380" s="469"/>
    </row>
    <row r="381" spans="1:26" x14ac:dyDescent="0.15">
      <c r="A381" s="384">
        <f t="shared" si="100"/>
        <v>379</v>
      </c>
      <c r="B381" s="401">
        <f t="shared" si="103"/>
        <v>40479</v>
      </c>
      <c r="D381" s="390">
        <v>33992.562019999998</v>
      </c>
      <c r="E381" s="387">
        <v>33992.562019999998</v>
      </c>
      <c r="F381" s="387">
        <f t="shared" si="111"/>
        <v>-107.43798000000243</v>
      </c>
      <c r="G381" s="388">
        <f t="shared" si="112"/>
        <v>-3.1506739002933326E-3</v>
      </c>
      <c r="H381" s="387">
        <f t="shared" si="108"/>
        <v>11136.712019999999</v>
      </c>
      <c r="I381" s="388">
        <f t="shared" si="109"/>
        <v>0.48725871144586619</v>
      </c>
      <c r="L381" s="369">
        <v>1183.26</v>
      </c>
      <c r="M381" s="394">
        <f t="shared" si="113"/>
        <v>1.5214524799689322E-4</v>
      </c>
      <c r="N381" s="394">
        <f t="shared" si="98"/>
        <v>0.27221314295544463</v>
      </c>
      <c r="O381" s="395" t="str">
        <f t="shared" si="99"/>
        <v>No</v>
      </c>
      <c r="P381" s="396">
        <f t="shared" si="101"/>
        <v>0</v>
      </c>
      <c r="Q381" s="394">
        <f>SUM($P$4:P381)/COUNT($P$4:P381)</f>
        <v>0.52910052910052907</v>
      </c>
      <c r="W381" s="396">
        <f t="shared" si="102"/>
        <v>0</v>
      </c>
      <c r="X381" s="394" t="e">
        <f>SUM($W$4:W381)/COUNT($W$4:W381)</f>
        <v>#DIV/0!</v>
      </c>
      <c r="Z381" s="469"/>
    </row>
    <row r="382" spans="1:26" x14ac:dyDescent="0.15">
      <c r="A382" s="384">
        <f t="shared" si="100"/>
        <v>380</v>
      </c>
      <c r="B382" s="401">
        <f t="shared" si="103"/>
        <v>40486</v>
      </c>
      <c r="D382" s="390">
        <v>36656.459549999992</v>
      </c>
      <c r="E382" s="387">
        <v>36656.459549999992</v>
      </c>
      <c r="F382" s="387">
        <f t="shared" si="111"/>
        <v>2663.8975299999947</v>
      </c>
      <c r="G382" s="388">
        <f t="shared" si="112"/>
        <v>7.8367071256137066E-2</v>
      </c>
      <c r="H382" s="387">
        <f t="shared" si="108"/>
        <v>13800.609549999994</v>
      </c>
      <c r="I382" s="388">
        <f t="shared" si="109"/>
        <v>0.60381082086205473</v>
      </c>
      <c r="L382" s="369">
        <v>1225.8499999999999</v>
      </c>
      <c r="M382" s="394">
        <f t="shared" si="113"/>
        <v>3.599377989621888E-2</v>
      </c>
      <c r="N382" s="394">
        <f t="shared" si="98"/>
        <v>0.31800490280405969</v>
      </c>
      <c r="O382" s="395" t="str">
        <f t="shared" si="99"/>
        <v>Yes</v>
      </c>
      <c r="P382" s="396">
        <f t="shared" si="101"/>
        <v>1</v>
      </c>
      <c r="Q382" s="394">
        <f>SUM($P$4:P382)/COUNT($P$4:P382)</f>
        <v>0.53034300791556732</v>
      </c>
      <c r="W382" s="396">
        <f t="shared" si="102"/>
        <v>0</v>
      </c>
      <c r="X382" s="394" t="e">
        <f>SUM($W$4:W382)/COUNT($W$4:W382)</f>
        <v>#DIV/0!</v>
      </c>
      <c r="Z382" s="469"/>
    </row>
    <row r="383" spans="1:26" x14ac:dyDescent="0.15">
      <c r="A383" s="384">
        <f t="shared" si="100"/>
        <v>381</v>
      </c>
      <c r="B383" s="401">
        <f t="shared" si="103"/>
        <v>40493</v>
      </c>
      <c r="D383" s="390">
        <v>36870.676109999993</v>
      </c>
      <c r="E383" s="387">
        <v>36870.676109999993</v>
      </c>
      <c r="F383" s="387">
        <f t="shared" si="111"/>
        <v>214.21656000000075</v>
      </c>
      <c r="G383" s="388">
        <f t="shared" si="112"/>
        <v>5.8438966182154939E-3</v>
      </c>
      <c r="H383" s="387">
        <f t="shared" si="108"/>
        <v>14014.826109999995</v>
      </c>
      <c r="I383" s="388">
        <f t="shared" si="109"/>
        <v>0.61318332549434817</v>
      </c>
      <c r="L383" s="369">
        <v>1199.21</v>
      </c>
      <c r="M383" s="394">
        <f t="shared" si="113"/>
        <v>-2.1731859526043062E-2</v>
      </c>
      <c r="N383" s="394">
        <f t="shared" si="98"/>
        <v>0.28936220540168578</v>
      </c>
      <c r="O383" s="395" t="str">
        <f t="shared" si="99"/>
        <v>Yes</v>
      </c>
      <c r="P383" s="396">
        <f t="shared" si="101"/>
        <v>1</v>
      </c>
      <c r="Q383" s="394">
        <f>SUM($P$4:P383)/COUNT($P$4:P383)</f>
        <v>0.53157894736842104</v>
      </c>
      <c r="W383" s="396">
        <f t="shared" si="102"/>
        <v>0</v>
      </c>
      <c r="X383" s="394" t="e">
        <f>SUM($W$4:W383)/COUNT($W$4:W383)</f>
        <v>#DIV/0!</v>
      </c>
      <c r="Z383" s="469"/>
    </row>
    <row r="384" spans="1:26" x14ac:dyDescent="0.15">
      <c r="A384" s="384">
        <f t="shared" si="100"/>
        <v>382</v>
      </c>
      <c r="B384" s="401">
        <f t="shared" si="103"/>
        <v>40500</v>
      </c>
      <c r="D384" s="390">
        <v>36840</v>
      </c>
      <c r="E384" s="387">
        <v>36840</v>
      </c>
      <c r="F384" s="387">
        <f t="shared" si="111"/>
        <v>-30.676109999993059</v>
      </c>
      <c r="G384" s="388">
        <f t="shared" si="112"/>
        <v>-8.3199206622830424E-4</v>
      </c>
      <c r="H384" s="387">
        <f t="shared" si="108"/>
        <v>13984.150000000001</v>
      </c>
      <c r="I384" s="388">
        <f t="shared" si="109"/>
        <v>0.61184116976616498</v>
      </c>
      <c r="L384" s="369">
        <v>1199.73</v>
      </c>
      <c r="M384" s="394">
        <f t="shared" si="113"/>
        <v>4.3361879904257883E-4</v>
      </c>
      <c r="N384" s="394">
        <f t="shared" si="98"/>
        <v>0.28992129709272318</v>
      </c>
      <c r="O384" s="395" t="str">
        <f t="shared" si="99"/>
        <v>No</v>
      </c>
      <c r="P384" s="396">
        <f t="shared" si="101"/>
        <v>0</v>
      </c>
      <c r="Q384" s="394">
        <f>SUM($P$4:P384)/COUNT($P$4:P384)</f>
        <v>0.53018372703412076</v>
      </c>
      <c r="W384" s="396">
        <f t="shared" si="102"/>
        <v>0</v>
      </c>
      <c r="X384" s="394" t="e">
        <f>SUM($W$4:W384)/COUNT($W$4:W384)</f>
        <v>#DIV/0!</v>
      </c>
      <c r="Z384" s="469"/>
    </row>
    <row r="385" spans="1:26" x14ac:dyDescent="0.15">
      <c r="A385" s="384">
        <f t="shared" si="100"/>
        <v>383</v>
      </c>
      <c r="B385" s="401">
        <f t="shared" si="103"/>
        <v>40507</v>
      </c>
      <c r="D385" s="390">
        <v>36804.239809999985</v>
      </c>
      <c r="E385" s="387">
        <v>36804.239809999985</v>
      </c>
      <c r="F385" s="387">
        <f t="shared" si="111"/>
        <v>-35.760190000015427</v>
      </c>
      <c r="G385" s="388">
        <f t="shared" si="112"/>
        <v>-9.7068919652598673E-4</v>
      </c>
      <c r="H385" s="387">
        <f t="shared" si="108"/>
        <v>13948.389809999986</v>
      </c>
      <c r="I385" s="388">
        <f t="shared" si="109"/>
        <v>0.61027657295615723</v>
      </c>
      <c r="L385" s="369">
        <v>1189.4000000000001</v>
      </c>
      <c r="M385" s="394">
        <f t="shared" ref="M385:M389" si="114">(L385/L384)-1</f>
        <v>-8.6102706442282573E-3</v>
      </c>
      <c r="N385" s="394">
        <f t="shared" si="98"/>
        <v>0.27881472561500087</v>
      </c>
      <c r="O385" s="395" t="str">
        <f t="shared" si="99"/>
        <v>Yes</v>
      </c>
      <c r="P385" s="396">
        <f t="shared" si="101"/>
        <v>1</v>
      </c>
      <c r="Q385" s="394">
        <f>SUM($P$4:P385)/COUNT($P$4:P385)</f>
        <v>0.53141361256544506</v>
      </c>
      <c r="W385" s="396">
        <f t="shared" si="102"/>
        <v>0</v>
      </c>
      <c r="X385" s="394" t="e">
        <f>SUM($W$4:W385)/COUNT($W$4:W385)</f>
        <v>#DIV/0!</v>
      </c>
      <c r="Z385" s="469"/>
    </row>
    <row r="386" spans="1:26" x14ac:dyDescent="0.15">
      <c r="A386" s="384">
        <f t="shared" si="100"/>
        <v>384</v>
      </c>
      <c r="B386" s="401">
        <f t="shared" si="103"/>
        <v>40514</v>
      </c>
      <c r="D386" s="390">
        <f>D385+106.29</f>
        <v>36910.529809999985</v>
      </c>
      <c r="E386" s="387">
        <f>E385+106.29</f>
        <v>36910.529809999985</v>
      </c>
      <c r="F386" s="387">
        <f t="shared" si="111"/>
        <v>106.29000000000087</v>
      </c>
      <c r="G386" s="388">
        <f t="shared" si="112"/>
        <v>2.8879824864938008E-3</v>
      </c>
      <c r="H386" s="387">
        <f t="shared" si="108"/>
        <v>14054.679809999987</v>
      </c>
      <c r="I386" s="388">
        <f t="shared" si="109"/>
        <v>0.61492702349726613</v>
      </c>
      <c r="L386" s="369">
        <v>1224.71</v>
      </c>
      <c r="M386" s="394">
        <f t="shared" si="114"/>
        <v>2.9687237262485233E-2</v>
      </c>
      <c r="N386" s="394">
        <f t="shared" si="98"/>
        <v>0.31677920178909336</v>
      </c>
      <c r="O386" s="395" t="str">
        <f t="shared" si="99"/>
        <v>No</v>
      </c>
      <c r="P386" s="396">
        <f t="shared" si="101"/>
        <v>0</v>
      </c>
      <c r="Q386" s="394">
        <f>SUM($P$4:P386)/COUNT($P$4:P386)</f>
        <v>0.5300261096605744</v>
      </c>
      <c r="W386" s="396">
        <f t="shared" si="102"/>
        <v>0</v>
      </c>
      <c r="X386" s="394" t="e">
        <f>SUM($W$4:W386)/COUNT($W$4:W386)</f>
        <v>#DIV/0!</v>
      </c>
    </row>
    <row r="387" spans="1:26" x14ac:dyDescent="0.15">
      <c r="A387" s="384">
        <f t="shared" si="100"/>
        <v>385</v>
      </c>
      <c r="B387" s="401">
        <f t="shared" si="103"/>
        <v>40521</v>
      </c>
      <c r="D387" s="390">
        <f t="shared" ref="D387:E388" si="115">D386+106.29</f>
        <v>37016.819809999986</v>
      </c>
      <c r="E387" s="387">
        <f t="shared" si="115"/>
        <v>37016.819809999986</v>
      </c>
      <c r="F387" s="387">
        <f t="shared" si="111"/>
        <v>106.29000000000087</v>
      </c>
      <c r="G387" s="388">
        <f t="shared" si="112"/>
        <v>2.8796660613417124E-3</v>
      </c>
      <c r="H387" s="387">
        <f t="shared" si="108"/>
        <v>14160.969809999988</v>
      </c>
      <c r="I387" s="388">
        <f t="shared" si="109"/>
        <v>0.61957747403837482</v>
      </c>
      <c r="L387" s="369">
        <v>1240.4000000000001</v>
      </c>
      <c r="M387" s="394">
        <f t="shared" si="114"/>
        <v>1.2811196119897783E-2</v>
      </c>
      <c r="N387" s="394">
        <f t="shared" si="98"/>
        <v>0.33364871838981602</v>
      </c>
      <c r="O387" s="395" t="str">
        <f t="shared" si="99"/>
        <v>No</v>
      </c>
      <c r="P387" s="396">
        <f t="shared" si="101"/>
        <v>0</v>
      </c>
      <c r="Q387" s="394">
        <f>SUM($P$4:P387)/COUNT($P$4:P387)</f>
        <v>0.52864583333333337</v>
      </c>
      <c r="W387" s="396">
        <f t="shared" si="102"/>
        <v>0</v>
      </c>
      <c r="X387" s="394" t="e">
        <f>SUM($W$4:W387)/COUNT($W$4:W387)</f>
        <v>#DIV/0!</v>
      </c>
    </row>
    <row r="388" spans="1:26" x14ac:dyDescent="0.15">
      <c r="A388" s="384">
        <f t="shared" si="100"/>
        <v>386</v>
      </c>
      <c r="B388" s="401">
        <f t="shared" si="103"/>
        <v>40528</v>
      </c>
      <c r="D388" s="390">
        <f t="shared" si="115"/>
        <v>37123.109809999987</v>
      </c>
      <c r="E388" s="387">
        <f t="shared" si="115"/>
        <v>37123.109809999987</v>
      </c>
      <c r="F388" s="387">
        <f t="shared" si="111"/>
        <v>106.29000000000087</v>
      </c>
      <c r="G388" s="388">
        <f t="shared" si="112"/>
        <v>2.8713973957126271E-3</v>
      </c>
      <c r="H388" s="387">
        <f t="shared" si="108"/>
        <v>14267.259809999989</v>
      </c>
      <c r="I388" s="388">
        <f t="shared" si="109"/>
        <v>0.62422792457948351</v>
      </c>
      <c r="L388" s="369">
        <v>1243.9100000000001</v>
      </c>
      <c r="M388" s="394">
        <f t="shared" si="114"/>
        <v>2.8297323444050893E-3</v>
      </c>
      <c r="N388" s="394">
        <f t="shared" ref="N388:N451" si="116">(L388/$L$3)-1</f>
        <v>0.33742258730431796</v>
      </c>
      <c r="O388" s="395" t="str">
        <f t="shared" ref="O388:O451" si="117">IF(G388&gt;M388,"Yes","No")</f>
        <v>Yes</v>
      </c>
      <c r="P388" s="396">
        <f t="shared" si="101"/>
        <v>1</v>
      </c>
      <c r="Q388" s="394">
        <f>SUM($P$4:P388)/COUNT($P$4:P388)</f>
        <v>0.52987012987012982</v>
      </c>
      <c r="W388" s="396">
        <f t="shared" si="102"/>
        <v>0</v>
      </c>
      <c r="X388" s="394" t="e">
        <f>SUM($W$4:W388)/COUNT($W$4:W388)</f>
        <v>#DIV/0!</v>
      </c>
    </row>
    <row r="389" spans="1:26" x14ac:dyDescent="0.15">
      <c r="A389" s="384">
        <f t="shared" ref="A389:A452" si="118">A388+1</f>
        <v>387</v>
      </c>
      <c r="B389" s="401">
        <f t="shared" si="103"/>
        <v>40535</v>
      </c>
      <c r="D389" s="390">
        <v>37229.407539999993</v>
      </c>
      <c r="E389" s="387">
        <v>37229.407539999993</v>
      </c>
      <c r="F389" s="387">
        <f t="shared" si="111"/>
        <v>106.29773000000569</v>
      </c>
      <c r="G389" s="388">
        <f t="shared" si="112"/>
        <v>2.8633843054648445E-3</v>
      </c>
      <c r="H389" s="387">
        <f t="shared" si="108"/>
        <v>14373.557539999994</v>
      </c>
      <c r="I389" s="388">
        <f t="shared" si="109"/>
        <v>0.62887871332722245</v>
      </c>
      <c r="L389" s="369">
        <v>1256.77</v>
      </c>
      <c r="M389" s="394">
        <f t="shared" si="114"/>
        <v>1.0338368531485287E-2</v>
      </c>
      <c r="N389" s="394">
        <f t="shared" si="116"/>
        <v>0.35124935489420261</v>
      </c>
      <c r="O389" s="395" t="str">
        <f t="shared" si="117"/>
        <v>No</v>
      </c>
      <c r="P389" s="396">
        <f t="shared" si="101"/>
        <v>0</v>
      </c>
      <c r="Q389" s="394">
        <f>SUM($P$4:P389)/COUNT($P$4:P389)</f>
        <v>0.52849740932642486</v>
      </c>
      <c r="W389" s="396">
        <f t="shared" si="102"/>
        <v>0</v>
      </c>
      <c r="X389" s="394" t="e">
        <f>SUM($W$4:W389)/COUNT($W$4:W389)</f>
        <v>#DIV/0!</v>
      </c>
    </row>
    <row r="390" spans="1:26" x14ac:dyDescent="0.15">
      <c r="A390" s="384">
        <f t="shared" si="118"/>
        <v>388</v>
      </c>
      <c r="B390" s="401">
        <f t="shared" si="103"/>
        <v>40542</v>
      </c>
      <c r="D390" s="390">
        <v>37326.932840000001</v>
      </c>
      <c r="E390" s="387">
        <v>37326.932840000001</v>
      </c>
      <c r="F390" s="387">
        <f t="shared" si="111"/>
        <v>97.525300000008428</v>
      </c>
      <c r="G390" s="388">
        <f t="shared" si="112"/>
        <v>2.6195770076444802E-3</v>
      </c>
      <c r="H390" s="387">
        <f t="shared" si="108"/>
        <v>14471.082840000003</v>
      </c>
      <c r="I390" s="388">
        <f t="shared" si="109"/>
        <v>0.63314568655289571</v>
      </c>
      <c r="L390" s="369">
        <v>1257.6400000000001</v>
      </c>
      <c r="M390" s="394">
        <f t="shared" ref="M390" si="119">(L390/L389)-1</f>
        <v>6.9225076983059353E-4</v>
      </c>
      <c r="N390" s="394">
        <f t="shared" si="116"/>
        <v>0.35218475830036122</v>
      </c>
      <c r="O390" s="395" t="str">
        <f t="shared" si="117"/>
        <v>Yes</v>
      </c>
      <c r="P390" s="396">
        <f t="shared" ref="P390:P453" si="120">IF(O390="Yes",1,0)</f>
        <v>1</v>
      </c>
      <c r="Q390" s="394">
        <f>SUM($P$4:P390)/COUNT($P$4:P390)</f>
        <v>0.52971576227390182</v>
      </c>
      <c r="W390" s="396">
        <f t="shared" ref="W390:W453" si="121">IF(V390="Yes",1,0)</f>
        <v>0</v>
      </c>
      <c r="X390" s="394" t="e">
        <f>SUM($W$4:W390)/COUNT($W$4:W390)</f>
        <v>#DIV/0!</v>
      </c>
    </row>
    <row r="391" spans="1:26" x14ac:dyDescent="0.15">
      <c r="A391" s="384">
        <f t="shared" si="118"/>
        <v>389</v>
      </c>
      <c r="B391" s="401">
        <f t="shared" si="103"/>
        <v>40549</v>
      </c>
      <c r="D391" s="390">
        <v>37814.249459999992</v>
      </c>
      <c r="E391" s="387">
        <v>37814.249459999992</v>
      </c>
      <c r="F391" s="387">
        <f t="shared" si="111"/>
        <v>487.31661999999051</v>
      </c>
      <c r="G391" s="388">
        <f t="shared" si="112"/>
        <v>1.3055361984571467E-2</v>
      </c>
      <c r="H391" s="387">
        <f t="shared" si="108"/>
        <v>14958.399459999993</v>
      </c>
      <c r="I391" s="388">
        <f t="shared" si="109"/>
        <v>0.65446699466438552</v>
      </c>
      <c r="L391" s="369">
        <v>1271.5</v>
      </c>
      <c r="M391" s="394">
        <f t="shared" ref="M391" si="122">(L391/L390)-1</f>
        <v>1.1020641837091505E-2</v>
      </c>
      <c r="N391" s="394">
        <f t="shared" si="116"/>
        <v>0.36708670221916395</v>
      </c>
      <c r="O391" s="395" t="str">
        <f t="shared" si="117"/>
        <v>Yes</v>
      </c>
      <c r="P391" s="396">
        <f t="shared" si="120"/>
        <v>1</v>
      </c>
      <c r="Q391" s="394">
        <f>SUM($P$4:P391)/COUNT($P$4:P391)</f>
        <v>0.53092783505154639</v>
      </c>
      <c r="W391" s="396">
        <f t="shared" si="121"/>
        <v>0</v>
      </c>
      <c r="X391" s="394" t="e">
        <f>SUM($W$4:W391)/COUNT($W$4:W391)</f>
        <v>#DIV/0!</v>
      </c>
    </row>
    <row r="392" spans="1:26" x14ac:dyDescent="0.15">
      <c r="A392" s="384">
        <f t="shared" si="118"/>
        <v>390</v>
      </c>
      <c r="B392" s="401">
        <f t="shared" si="103"/>
        <v>40556</v>
      </c>
      <c r="D392" s="390">
        <v>38481</v>
      </c>
      <c r="E392" s="387">
        <v>38481</v>
      </c>
      <c r="F392" s="387">
        <f t="shared" si="111"/>
        <v>666.75054000000819</v>
      </c>
      <c r="G392" s="388">
        <f t="shared" si="112"/>
        <v>1.7632256345727626E-2</v>
      </c>
      <c r="H392" s="387">
        <f t="shared" si="108"/>
        <v>15625.150000000001</v>
      </c>
      <c r="I392" s="388">
        <f t="shared" si="109"/>
        <v>0.6836389808298533</v>
      </c>
      <c r="L392" s="369">
        <v>1293.24</v>
      </c>
      <c r="M392" s="394">
        <f>(L392/L391)-1</f>
        <v>1.7097915847424261E-2</v>
      </c>
      <c r="N392" s="394">
        <f t="shared" si="116"/>
        <v>0.39046103560983991</v>
      </c>
      <c r="O392" s="395" t="str">
        <f t="shared" si="117"/>
        <v>Yes</v>
      </c>
      <c r="P392" s="396">
        <f t="shared" si="120"/>
        <v>1</v>
      </c>
      <c r="Q392" s="394">
        <f>SUM($P$4:P392)/COUNT($P$4:P392)</f>
        <v>0.53213367609254503</v>
      </c>
      <c r="W392" s="396">
        <f t="shared" si="121"/>
        <v>0</v>
      </c>
      <c r="X392" s="394" t="e">
        <f>SUM($W$4:W392)/COUNT($W$4:W392)</f>
        <v>#DIV/0!</v>
      </c>
    </row>
    <row r="393" spans="1:26" x14ac:dyDescent="0.15">
      <c r="A393" s="384">
        <f t="shared" si="118"/>
        <v>391</v>
      </c>
      <c r="B393" s="401">
        <f t="shared" si="103"/>
        <v>40563</v>
      </c>
      <c r="D393" s="390">
        <v>38183.156649999997</v>
      </c>
      <c r="E393" s="387">
        <v>38183.156649999997</v>
      </c>
      <c r="F393" s="387">
        <f t="shared" si="111"/>
        <v>-297.84335000000283</v>
      </c>
      <c r="G393" s="388">
        <f t="shared" si="112"/>
        <v>-7.740010654608831E-3</v>
      </c>
      <c r="H393" s="387">
        <f t="shared" si="108"/>
        <v>15327.306649999999</v>
      </c>
      <c r="I393" s="388">
        <f t="shared" si="109"/>
        <v>0.67060759717971541</v>
      </c>
      <c r="L393" s="369">
        <v>1283.3499999999999</v>
      </c>
      <c r="M393" s="394">
        <f>(L393/L392)-1</f>
        <v>-7.6474590949863197E-3</v>
      </c>
      <c r="N393" s="394">
        <f t="shared" si="116"/>
        <v>0.3798275417168413</v>
      </c>
      <c r="O393" s="395" t="str">
        <f t="shared" si="117"/>
        <v>No</v>
      </c>
      <c r="P393" s="396">
        <f t="shared" si="120"/>
        <v>0</v>
      </c>
      <c r="Q393" s="394">
        <f>SUM($P$4:P393)/COUNT($P$4:P393)</f>
        <v>0.53076923076923077</v>
      </c>
      <c r="W393" s="396">
        <f t="shared" si="121"/>
        <v>0</v>
      </c>
      <c r="X393" s="394" t="e">
        <f>SUM($W$4:W393)/COUNT($W$4:W393)</f>
        <v>#DIV/0!</v>
      </c>
    </row>
    <row r="394" spans="1:26" x14ac:dyDescent="0.15">
      <c r="A394" s="384">
        <f t="shared" si="118"/>
        <v>392</v>
      </c>
      <c r="B394" s="401">
        <f t="shared" si="103"/>
        <v>40570</v>
      </c>
      <c r="D394" s="390">
        <v>38492.453280000002</v>
      </c>
      <c r="E394" s="387">
        <v>38492.453280000002</v>
      </c>
      <c r="F394" s="387">
        <f t="shared" si="111"/>
        <v>309.29663000000437</v>
      </c>
      <c r="G394" s="388">
        <f t="shared" si="112"/>
        <v>8.1003420653542602E-3</v>
      </c>
      <c r="H394" s="387">
        <f t="shared" si="108"/>
        <v>15636.603280000003</v>
      </c>
      <c r="I394" s="388">
        <f t="shared" si="109"/>
        <v>0.68414009017385058</v>
      </c>
      <c r="L394" s="369">
        <v>1276.3399999999999</v>
      </c>
      <c r="M394" s="394">
        <f>(L394/L393)-1</f>
        <v>-5.4622667238087841E-3</v>
      </c>
      <c r="N394" s="394">
        <f t="shared" si="116"/>
        <v>0.37229055565112668</v>
      </c>
      <c r="O394" s="395" t="str">
        <f t="shared" si="117"/>
        <v>Yes</v>
      </c>
      <c r="P394" s="396">
        <f t="shared" si="120"/>
        <v>1</v>
      </c>
      <c r="Q394" s="394">
        <f>SUM($P$4:P394)/COUNT($P$4:P394)</f>
        <v>0.53196930946291565</v>
      </c>
      <c r="W394" s="396">
        <f t="shared" si="121"/>
        <v>0</v>
      </c>
      <c r="X394" s="394" t="e">
        <f>SUM($W$4:W394)/COUNT($W$4:W394)</f>
        <v>#DIV/0!</v>
      </c>
    </row>
    <row r="395" spans="1:26" x14ac:dyDescent="0.15">
      <c r="A395" s="384">
        <f t="shared" si="118"/>
        <v>393</v>
      </c>
      <c r="B395" s="401">
        <f t="shared" ref="B395:B460" si="123">B394+7</f>
        <v>40577</v>
      </c>
      <c r="D395" s="390">
        <v>39204.419079999992</v>
      </c>
      <c r="E395" s="387">
        <v>39204.419079999992</v>
      </c>
      <c r="F395" s="387">
        <f t="shared" si="111"/>
        <v>711.96579999999085</v>
      </c>
      <c r="G395" s="388">
        <f t="shared" si="112"/>
        <v>1.8496243791504829E-2</v>
      </c>
      <c r="H395" s="387">
        <f t="shared" si="108"/>
        <v>16348.569079999994</v>
      </c>
      <c r="I395" s="388">
        <f t="shared" si="109"/>
        <v>0.71529035586075307</v>
      </c>
      <c r="L395" s="369">
        <v>1310.87</v>
      </c>
      <c r="M395" s="394">
        <f>(L395/L394)-1</f>
        <v>2.7053919801933723E-2</v>
      </c>
      <c r="N395" s="394">
        <f t="shared" si="116"/>
        <v>0.40941639428866305</v>
      </c>
      <c r="O395" s="395" t="str">
        <f t="shared" si="117"/>
        <v>No</v>
      </c>
      <c r="P395" s="396">
        <f t="shared" si="120"/>
        <v>0</v>
      </c>
      <c r="Q395" s="394">
        <f>SUM($P$4:P395)/COUNT($P$4:P395)</f>
        <v>0.53061224489795922</v>
      </c>
      <c r="W395" s="396">
        <f t="shared" si="121"/>
        <v>0</v>
      </c>
      <c r="X395" s="394" t="e">
        <f>SUM($W$4:W395)/COUNT($W$4:W395)</f>
        <v>#DIV/0!</v>
      </c>
    </row>
    <row r="396" spans="1:26" x14ac:dyDescent="0.15">
      <c r="A396" s="384">
        <f t="shared" si="118"/>
        <v>394</v>
      </c>
      <c r="B396" s="401">
        <f t="shared" si="123"/>
        <v>40584</v>
      </c>
      <c r="D396" s="390">
        <v>38995.910000000003</v>
      </c>
      <c r="E396" s="387">
        <v>38995.910000000003</v>
      </c>
      <c r="F396" s="387">
        <f t="shared" si="111"/>
        <v>-208.5090799999889</v>
      </c>
      <c r="G396" s="388">
        <f t="shared" si="112"/>
        <v>-5.3185096194005022E-3</v>
      </c>
      <c r="H396" s="387">
        <f t="shared" si="108"/>
        <v>16140.060000000005</v>
      </c>
      <c r="I396" s="388">
        <f t="shared" si="109"/>
        <v>0.70616756760304278</v>
      </c>
      <c r="L396" s="369">
        <v>1329.15</v>
      </c>
      <c r="M396" s="394">
        <f t="shared" ref="M396:M398" si="124">(L396/L395)-1</f>
        <v>1.3944937331695995E-2</v>
      </c>
      <c r="N396" s="394">
        <f t="shared" si="116"/>
        <v>0.42907061758128329</v>
      </c>
      <c r="O396" s="395" t="str">
        <f t="shared" si="117"/>
        <v>No</v>
      </c>
      <c r="P396" s="396">
        <f t="shared" si="120"/>
        <v>0</v>
      </c>
      <c r="Q396" s="394">
        <f>SUM($P$4:P396)/COUNT($P$4:P396)</f>
        <v>0.52926208651399487</v>
      </c>
      <c r="W396" s="396">
        <f t="shared" si="121"/>
        <v>0</v>
      </c>
      <c r="X396" s="394" t="e">
        <f>SUM($W$4:W396)/COUNT($W$4:W396)</f>
        <v>#DIV/0!</v>
      </c>
    </row>
    <row r="397" spans="1:26" x14ac:dyDescent="0.15">
      <c r="A397" s="384">
        <f t="shared" si="118"/>
        <v>395</v>
      </c>
      <c r="B397" s="401">
        <f t="shared" si="123"/>
        <v>40591</v>
      </c>
      <c r="D397" s="390">
        <v>38765.408150000003</v>
      </c>
      <c r="E397" s="387">
        <v>38765.408150000003</v>
      </c>
      <c r="F397" s="387">
        <f t="shared" si="111"/>
        <v>-230.50185000000056</v>
      </c>
      <c r="G397" s="388">
        <f t="shared" si="112"/>
        <v>-5.910923735335305E-3</v>
      </c>
      <c r="H397" s="387">
        <f t="shared" si="108"/>
        <v>15909.558150000004</v>
      </c>
      <c r="I397" s="388">
        <f t="shared" si="109"/>
        <v>0.69608254123123858</v>
      </c>
      <c r="L397" s="369">
        <v>1343.01</v>
      </c>
      <c r="M397" s="394">
        <f t="shared" si="124"/>
        <v>1.0427716961968203E-2</v>
      </c>
      <c r="N397" s="394">
        <f t="shared" si="116"/>
        <v>0.44397256150008602</v>
      </c>
      <c r="O397" s="395" t="str">
        <f t="shared" si="117"/>
        <v>No</v>
      </c>
      <c r="P397" s="396">
        <f t="shared" si="120"/>
        <v>0</v>
      </c>
      <c r="Q397" s="394">
        <f>SUM($P$4:P397)/COUNT($P$4:P397)</f>
        <v>0.52791878172588835</v>
      </c>
      <c r="W397" s="396">
        <f t="shared" si="121"/>
        <v>0</v>
      </c>
      <c r="X397" s="394" t="e">
        <f>SUM($W$4:W397)/COUNT($W$4:W397)</f>
        <v>#DIV/0!</v>
      </c>
    </row>
    <row r="398" spans="1:26" x14ac:dyDescent="0.15">
      <c r="A398" s="384">
        <f t="shared" si="118"/>
        <v>396</v>
      </c>
      <c r="B398" s="401">
        <f t="shared" si="123"/>
        <v>40598</v>
      </c>
      <c r="D398" s="390">
        <v>38790.81</v>
      </c>
      <c r="E398" s="387">
        <v>38790.81</v>
      </c>
      <c r="F398" s="387">
        <f t="shared" si="111"/>
        <v>25.401849999994738</v>
      </c>
      <c r="G398" s="388">
        <f t="shared" si="112"/>
        <v>6.5527105768370397E-4</v>
      </c>
      <c r="H398" s="387">
        <f t="shared" si="108"/>
        <v>15934.96</v>
      </c>
      <c r="I398" s="388">
        <f t="shared" si="109"/>
        <v>0.69719393503195026</v>
      </c>
      <c r="L398" s="369">
        <v>1319.88</v>
      </c>
      <c r="M398" s="394">
        <f t="shared" si="124"/>
        <v>-1.722250765072475E-2</v>
      </c>
      <c r="N398" s="394">
        <f t="shared" si="116"/>
        <v>0.41910373301221404</v>
      </c>
      <c r="O398" s="395" t="str">
        <f t="shared" si="117"/>
        <v>Yes</v>
      </c>
      <c r="P398" s="396">
        <f t="shared" si="120"/>
        <v>1</v>
      </c>
      <c r="Q398" s="394">
        <f>SUM($P$4:P398)/COUNT($P$4:P398)</f>
        <v>0.52911392405063296</v>
      </c>
      <c r="W398" s="396">
        <f t="shared" si="121"/>
        <v>0</v>
      </c>
      <c r="X398" s="394" t="e">
        <f>SUM($W$4:W398)/COUNT($W$4:W398)</f>
        <v>#DIV/0!</v>
      </c>
    </row>
    <row r="399" spans="1:26" x14ac:dyDescent="0.15">
      <c r="A399" s="384">
        <f t="shared" si="118"/>
        <v>397</v>
      </c>
      <c r="B399" s="401">
        <f t="shared" si="123"/>
        <v>40605</v>
      </c>
      <c r="D399" s="390">
        <v>38940.104079999997</v>
      </c>
      <c r="E399" s="387">
        <v>38940.104079999997</v>
      </c>
      <c r="F399" s="387">
        <f t="shared" si="111"/>
        <v>149.29407999999967</v>
      </c>
      <c r="G399" s="388">
        <f t="shared" si="112"/>
        <v>3.8486971527533775E-3</v>
      </c>
      <c r="H399" s="387">
        <f t="shared" si="108"/>
        <v>16084.254079999999</v>
      </c>
      <c r="I399" s="388">
        <f t="shared" si="109"/>
        <v>0.70372592049737803</v>
      </c>
      <c r="L399" s="369">
        <v>1321.15</v>
      </c>
      <c r="M399" s="394">
        <f t="shared" ref="M399:M400" si="125">(L399/L398)-1</f>
        <v>9.6220868563801076E-4</v>
      </c>
      <c r="N399" s="394">
        <f t="shared" si="116"/>
        <v>0.42046920694993983</v>
      </c>
      <c r="O399" s="395" t="str">
        <f t="shared" si="117"/>
        <v>Yes</v>
      </c>
      <c r="P399" s="396">
        <f t="shared" si="120"/>
        <v>1</v>
      </c>
      <c r="Q399" s="394">
        <f>SUM($P$4:P399)/COUNT($P$4:P399)</f>
        <v>0.53030303030303028</v>
      </c>
      <c r="W399" s="396">
        <f t="shared" si="121"/>
        <v>0</v>
      </c>
      <c r="X399" s="394" t="e">
        <f>SUM($W$4:W399)/COUNT($W$4:W399)</f>
        <v>#DIV/0!</v>
      </c>
    </row>
    <row r="400" spans="1:26" x14ac:dyDescent="0.15">
      <c r="A400" s="384">
        <f t="shared" si="118"/>
        <v>398</v>
      </c>
      <c r="B400" s="401">
        <f t="shared" si="123"/>
        <v>40612</v>
      </c>
      <c r="D400" s="390">
        <v>38670.833279999999</v>
      </c>
      <c r="E400" s="387">
        <v>38670.833279999999</v>
      </c>
      <c r="F400" s="387">
        <f t="shared" si="111"/>
        <v>-269.27079999999842</v>
      </c>
      <c r="G400" s="388">
        <f t="shared" si="112"/>
        <v>-6.9149994937558468E-3</v>
      </c>
      <c r="H400" s="387">
        <f t="shared" si="108"/>
        <v>15814.98328</v>
      </c>
      <c r="I400" s="388">
        <f t="shared" si="109"/>
        <v>0.69194465661964011</v>
      </c>
      <c r="L400" s="369">
        <v>1304.28</v>
      </c>
      <c r="M400" s="394">
        <f t="shared" si="125"/>
        <v>-1.2769178367331602E-2</v>
      </c>
      <c r="N400" s="394">
        <f t="shared" si="116"/>
        <v>0.4023309822810941</v>
      </c>
      <c r="O400" s="395" t="str">
        <f t="shared" si="117"/>
        <v>Yes</v>
      </c>
      <c r="P400" s="396">
        <f t="shared" si="120"/>
        <v>1</v>
      </c>
      <c r="Q400" s="394">
        <f>SUM($P$4:P400)/COUNT($P$4:P400)</f>
        <v>0.53148614609571787</v>
      </c>
      <c r="W400" s="396">
        <f t="shared" si="121"/>
        <v>0</v>
      </c>
      <c r="X400" s="394" t="e">
        <f>SUM($W$4:W400)/COUNT($W$4:W400)</f>
        <v>#DIV/0!</v>
      </c>
    </row>
    <row r="401" spans="1:24" x14ac:dyDescent="0.15">
      <c r="A401" s="384">
        <f t="shared" si="118"/>
        <v>399</v>
      </c>
      <c r="B401" s="401">
        <f t="shared" si="123"/>
        <v>40619</v>
      </c>
      <c r="D401" s="390">
        <v>37859.991129999995</v>
      </c>
      <c r="E401" s="387">
        <v>37859.991129999995</v>
      </c>
      <c r="F401" s="387">
        <f t="shared" si="111"/>
        <v>-810.84215000000404</v>
      </c>
      <c r="G401" s="388">
        <f t="shared" si="112"/>
        <v>-2.0967796171575181E-2</v>
      </c>
      <c r="H401" s="387">
        <f t="shared" si="108"/>
        <v>15004.141129999996</v>
      </c>
      <c r="I401" s="388">
        <f t="shared" si="109"/>
        <v>0.65646830592605387</v>
      </c>
      <c r="L401" s="369">
        <v>1276.71</v>
      </c>
      <c r="M401" s="394">
        <f t="shared" ref="M401:M402" si="126">(L401/L400)-1</f>
        <v>-2.1138099181157388E-2</v>
      </c>
      <c r="N401" s="394">
        <f t="shared" si="116"/>
        <v>0.37268837089282636</v>
      </c>
      <c r="O401" s="395" t="str">
        <f t="shared" si="117"/>
        <v>Yes</v>
      </c>
      <c r="P401" s="396">
        <f t="shared" si="120"/>
        <v>1</v>
      </c>
      <c r="Q401" s="394">
        <f>SUM($P$4:P401)/COUNT($P$4:P401)</f>
        <v>0.53266331658291455</v>
      </c>
      <c r="W401" s="396">
        <f t="shared" si="121"/>
        <v>0</v>
      </c>
      <c r="X401" s="394" t="e">
        <f>SUM($W$4:W401)/COUNT($W$4:W401)</f>
        <v>#DIV/0!</v>
      </c>
    </row>
    <row r="402" spans="1:24" x14ac:dyDescent="0.15">
      <c r="A402" s="384">
        <f t="shared" si="118"/>
        <v>400</v>
      </c>
      <c r="B402" s="401">
        <f t="shared" si="123"/>
        <v>40626</v>
      </c>
      <c r="D402" s="390">
        <v>39005.864710000002</v>
      </c>
      <c r="E402" s="387">
        <v>39005.864710000002</v>
      </c>
      <c r="F402" s="387">
        <f t="shared" si="111"/>
        <v>1145.8735800000068</v>
      </c>
      <c r="G402" s="388">
        <f t="shared" si="112"/>
        <v>3.0266081575809567E-2</v>
      </c>
      <c r="H402" s="387">
        <f t="shared" si="108"/>
        <v>16150.014710000003</v>
      </c>
      <c r="I402" s="388">
        <f t="shared" si="109"/>
        <v>0.70660311080095495</v>
      </c>
      <c r="L402" s="369">
        <v>1309.02</v>
      </c>
      <c r="M402" s="394">
        <f t="shared" si="126"/>
        <v>2.5307235002467232E-2</v>
      </c>
      <c r="N402" s="394">
        <f t="shared" si="116"/>
        <v>0.40742731808016508</v>
      </c>
      <c r="O402" s="395" t="str">
        <f t="shared" si="117"/>
        <v>Yes</v>
      </c>
      <c r="P402" s="396">
        <f t="shared" si="120"/>
        <v>1</v>
      </c>
      <c r="Q402" s="394">
        <f>SUM($P$4:P402)/COUNT($P$4:P402)</f>
        <v>0.53383458646616544</v>
      </c>
      <c r="W402" s="396">
        <f t="shared" si="121"/>
        <v>0</v>
      </c>
      <c r="X402" s="394" t="e">
        <f>SUM($W$4:W402)/COUNT($W$4:W402)</f>
        <v>#DIV/0!</v>
      </c>
    </row>
    <row r="403" spans="1:24" x14ac:dyDescent="0.15">
      <c r="A403" s="384">
        <f t="shared" si="118"/>
        <v>401</v>
      </c>
      <c r="B403" s="401">
        <f t="shared" si="123"/>
        <v>40633</v>
      </c>
      <c r="D403" s="390">
        <v>39920.137799999997</v>
      </c>
      <c r="E403" s="387">
        <v>39920.137799999997</v>
      </c>
      <c r="F403" s="387">
        <f t="shared" si="111"/>
        <v>914.27308999999514</v>
      </c>
      <c r="G403" s="388">
        <f t="shared" si="112"/>
        <v>2.3439374996488738E-2</v>
      </c>
      <c r="H403" s="387">
        <f t="shared" si="108"/>
        <v>17064.287799999998</v>
      </c>
      <c r="I403" s="388">
        <f t="shared" si="109"/>
        <v>0.74660482108519255</v>
      </c>
      <c r="L403" s="369">
        <v>1332.41</v>
      </c>
      <c r="M403" s="394">
        <f t="shared" ref="M403" si="127">(L403/L402)-1</f>
        <v>1.7868328978930981E-2</v>
      </c>
      <c r="N403" s="394">
        <f t="shared" si="116"/>
        <v>0.43257569241355576</v>
      </c>
      <c r="O403" s="395" t="str">
        <f t="shared" si="117"/>
        <v>Yes</v>
      </c>
      <c r="P403" s="396">
        <f t="shared" si="120"/>
        <v>1</v>
      </c>
      <c r="Q403" s="394">
        <f>SUM($P$4:P403)/COUNT($P$4:P403)</f>
        <v>0.53500000000000003</v>
      </c>
      <c r="W403" s="396">
        <f t="shared" si="121"/>
        <v>0</v>
      </c>
      <c r="X403" s="394" t="e">
        <f>SUM($W$4:W403)/COUNT($W$4:W403)</f>
        <v>#DIV/0!</v>
      </c>
    </row>
    <row r="404" spans="1:24" x14ac:dyDescent="0.15">
      <c r="A404" s="384">
        <f t="shared" si="118"/>
        <v>402</v>
      </c>
      <c r="B404" s="401">
        <f t="shared" si="123"/>
        <v>40640</v>
      </c>
      <c r="D404" s="390">
        <v>39687.383809999999</v>
      </c>
      <c r="E404" s="387">
        <v>39687.383809999999</v>
      </c>
      <c r="F404" s="387">
        <f t="shared" si="111"/>
        <v>-232.75398999999743</v>
      </c>
      <c r="G404" s="388">
        <f t="shared" si="112"/>
        <v>-5.8304906452502081E-3</v>
      </c>
      <c r="H404" s="387">
        <f t="shared" si="108"/>
        <v>16831.533810000001</v>
      </c>
      <c r="I404" s="388">
        <f t="shared" si="109"/>
        <v>0.73642125801490654</v>
      </c>
      <c r="L404" s="369">
        <v>1328.17</v>
      </c>
      <c r="M404" s="394">
        <f t="shared" ref="M404:M451" si="128">(L404/L403)-1</f>
        <v>-3.182203676045714E-3</v>
      </c>
      <c r="N404" s="394">
        <f t="shared" si="116"/>
        <v>0.4280169447789437</v>
      </c>
      <c r="O404" s="395" t="str">
        <f t="shared" si="117"/>
        <v>No</v>
      </c>
      <c r="P404" s="396">
        <f t="shared" si="120"/>
        <v>0</v>
      </c>
      <c r="Q404" s="394">
        <f>SUM($P$4:P404)/COUNT($P$4:P404)</f>
        <v>0.53366583541147128</v>
      </c>
      <c r="W404" s="396">
        <f t="shared" si="121"/>
        <v>0</v>
      </c>
      <c r="X404" s="394" t="e">
        <f>SUM($W$4:W404)/COUNT($W$4:W404)</f>
        <v>#DIV/0!</v>
      </c>
    </row>
    <row r="405" spans="1:24" x14ac:dyDescent="0.15">
      <c r="A405" s="384">
        <f t="shared" si="118"/>
        <v>403</v>
      </c>
      <c r="B405" s="401">
        <f t="shared" si="123"/>
        <v>40647</v>
      </c>
      <c r="D405" s="390">
        <v>39495</v>
      </c>
      <c r="E405" s="387">
        <v>39495</v>
      </c>
      <c r="F405" s="387">
        <f t="shared" si="111"/>
        <v>-192.38380999999936</v>
      </c>
      <c r="G405" s="388">
        <f t="shared" si="112"/>
        <v>-4.8474802703302178E-3</v>
      </c>
      <c r="H405" s="387">
        <f t="shared" si="108"/>
        <v>16639.150000000001</v>
      </c>
      <c r="I405" s="388">
        <f t="shared" si="109"/>
        <v>0.72800399022569717</v>
      </c>
      <c r="L405" s="369">
        <v>1314.52</v>
      </c>
      <c r="M405" s="394">
        <f t="shared" si="128"/>
        <v>-1.0277298839757032E-2</v>
      </c>
      <c r="N405" s="394">
        <f t="shared" si="116"/>
        <v>0.41334078788921369</v>
      </c>
      <c r="O405" s="395" t="str">
        <f t="shared" si="117"/>
        <v>Yes</v>
      </c>
      <c r="P405" s="396">
        <f t="shared" si="120"/>
        <v>1</v>
      </c>
      <c r="Q405" s="394">
        <f>SUM($P$4:P405)/COUNT($P$4:P405)</f>
        <v>0.53482587064676612</v>
      </c>
      <c r="W405" s="396">
        <f t="shared" si="121"/>
        <v>0</v>
      </c>
      <c r="X405" s="394" t="e">
        <f>SUM($W$4:W405)/COUNT($W$4:W405)</f>
        <v>#DIV/0!</v>
      </c>
    </row>
    <row r="406" spans="1:24" x14ac:dyDescent="0.15">
      <c r="A406" s="384">
        <f t="shared" si="118"/>
        <v>404</v>
      </c>
      <c r="B406" s="401">
        <f t="shared" si="123"/>
        <v>40654</v>
      </c>
      <c r="D406" s="390">
        <v>40254</v>
      </c>
      <c r="E406" s="387">
        <v>40254</v>
      </c>
      <c r="F406" s="387">
        <f t="shared" si="111"/>
        <v>759</v>
      </c>
      <c r="G406" s="388">
        <f t="shared" si="112"/>
        <v>1.9217622483858721E-2</v>
      </c>
      <c r="H406" s="387">
        <f t="shared" si="108"/>
        <v>17398.150000000001</v>
      </c>
      <c r="I406" s="388">
        <f t="shared" si="109"/>
        <v>0.76121211856045612</v>
      </c>
      <c r="L406" s="369">
        <v>1337.38</v>
      </c>
      <c r="M406" s="394">
        <f t="shared" si="128"/>
        <v>1.7390378236923132E-2</v>
      </c>
      <c r="N406" s="394">
        <f t="shared" si="116"/>
        <v>0.43791931876827794</v>
      </c>
      <c r="O406" s="395" t="str">
        <f t="shared" si="117"/>
        <v>Yes</v>
      </c>
      <c r="P406" s="396">
        <f t="shared" si="120"/>
        <v>1</v>
      </c>
      <c r="Q406" s="394">
        <f>SUM($P$4:P406)/COUNT($P$4:P406)</f>
        <v>0.53598014888337464</v>
      </c>
      <c r="W406" s="396">
        <f t="shared" si="121"/>
        <v>0</v>
      </c>
      <c r="X406" s="394" t="e">
        <f>SUM($W$4:W406)/COUNT($W$4:W406)</f>
        <v>#DIV/0!</v>
      </c>
    </row>
    <row r="407" spans="1:24" x14ac:dyDescent="0.15">
      <c r="A407" s="384">
        <f t="shared" si="118"/>
        <v>405</v>
      </c>
      <c r="B407" s="401">
        <f t="shared" si="123"/>
        <v>40661</v>
      </c>
      <c r="D407" s="390">
        <v>40523</v>
      </c>
      <c r="E407" s="387">
        <v>40523</v>
      </c>
      <c r="F407" s="387">
        <f t="shared" si="111"/>
        <v>269</v>
      </c>
      <c r="G407" s="388">
        <f t="shared" si="112"/>
        <v>6.6825657077558276E-3</v>
      </c>
      <c r="H407" s="387">
        <f t="shared" si="108"/>
        <v>17667.150000000001</v>
      </c>
      <c r="I407" s="388">
        <f t="shared" si="109"/>
        <v>0.77298153426803218</v>
      </c>
      <c r="L407" s="369">
        <v>1360.48</v>
      </c>
      <c r="M407" s="394">
        <f t="shared" si="128"/>
        <v>1.7272577726599625E-2</v>
      </c>
      <c r="N407" s="394">
        <f t="shared" si="116"/>
        <v>0.46275589196628242</v>
      </c>
      <c r="O407" s="395" t="str">
        <f t="shared" si="117"/>
        <v>No</v>
      </c>
      <c r="P407" s="396">
        <f t="shared" si="120"/>
        <v>0</v>
      </c>
      <c r="Q407" s="394">
        <f>SUM($P$4:P407)/COUNT($P$4:P407)</f>
        <v>0.53465346534653468</v>
      </c>
      <c r="W407" s="396">
        <f t="shared" si="121"/>
        <v>0</v>
      </c>
      <c r="X407" s="394" t="e">
        <f>SUM($W$4:W407)/COUNT($W$4:W407)</f>
        <v>#DIV/0!</v>
      </c>
    </row>
    <row r="408" spans="1:24" x14ac:dyDescent="0.15">
      <c r="A408" s="384">
        <f t="shared" si="118"/>
        <v>406</v>
      </c>
      <c r="B408" s="401">
        <f t="shared" si="123"/>
        <v>40668</v>
      </c>
      <c r="D408" s="390">
        <v>39477.019999999997</v>
      </c>
      <c r="E408" s="387">
        <v>39477.019999999997</v>
      </c>
      <c r="F408" s="387">
        <f t="shared" si="111"/>
        <v>-1045.9800000000032</v>
      </c>
      <c r="G408" s="388">
        <f t="shared" si="112"/>
        <v>-2.5812007995459463E-2</v>
      </c>
      <c r="H408" s="387">
        <f t="shared" si="108"/>
        <v>16621.169999999998</v>
      </c>
      <c r="I408" s="388">
        <f t="shared" si="109"/>
        <v>0.72721732072970369</v>
      </c>
      <c r="L408" s="369">
        <v>1335.1</v>
      </c>
      <c r="M408" s="394">
        <f t="shared" si="128"/>
        <v>-1.8655180524520865E-2</v>
      </c>
      <c r="N408" s="394">
        <f t="shared" si="116"/>
        <v>0.43546791673834484</v>
      </c>
      <c r="O408" s="395" t="str">
        <f t="shared" si="117"/>
        <v>No</v>
      </c>
      <c r="P408" s="396">
        <f t="shared" si="120"/>
        <v>0</v>
      </c>
      <c r="Q408" s="394">
        <f>SUM($P$4:P408)/COUNT($P$4:P408)</f>
        <v>0.53333333333333333</v>
      </c>
      <c r="W408" s="396">
        <f t="shared" si="121"/>
        <v>0</v>
      </c>
      <c r="X408" s="394" t="e">
        <f>SUM($W$4:W408)/COUNT($W$4:W408)</f>
        <v>#DIV/0!</v>
      </c>
    </row>
    <row r="409" spans="1:24" x14ac:dyDescent="0.15">
      <c r="A409" s="384">
        <f t="shared" si="118"/>
        <v>407</v>
      </c>
      <c r="B409" s="401">
        <f t="shared" si="123"/>
        <v>40675</v>
      </c>
      <c r="D409" s="390">
        <v>40029.949999999997</v>
      </c>
      <c r="E409" s="387">
        <v>40029.949999999997</v>
      </c>
      <c r="F409" s="387">
        <f t="shared" si="111"/>
        <v>552.93000000000029</v>
      </c>
      <c r="G409" s="388">
        <f t="shared" si="112"/>
        <v>1.4006376367821094E-2</v>
      </c>
      <c r="H409" s="387">
        <f t="shared" si="108"/>
        <v>17174.099999999999</v>
      </c>
      <c r="I409" s="388">
        <f t="shared" si="109"/>
        <v>0.75140937659286355</v>
      </c>
      <c r="L409" s="369">
        <v>1348.65</v>
      </c>
      <c r="M409" s="394">
        <f t="shared" si="128"/>
        <v>1.0149052505430411E-2</v>
      </c>
      <c r="N409" s="394">
        <f t="shared" si="116"/>
        <v>0.45003655599518333</v>
      </c>
      <c r="O409" s="395" t="str">
        <f t="shared" si="117"/>
        <v>Yes</v>
      </c>
      <c r="P409" s="396">
        <f t="shared" si="120"/>
        <v>1</v>
      </c>
      <c r="Q409" s="394">
        <f>SUM($P$4:P409)/COUNT($P$4:P409)</f>
        <v>0.53448275862068961</v>
      </c>
      <c r="W409" s="396">
        <f t="shared" si="121"/>
        <v>0</v>
      </c>
      <c r="X409" s="394" t="e">
        <f>SUM($W$4:W409)/COUNT($W$4:W409)</f>
        <v>#DIV/0!</v>
      </c>
    </row>
    <row r="410" spans="1:24" x14ac:dyDescent="0.15">
      <c r="A410" s="384">
        <f t="shared" si="118"/>
        <v>408</v>
      </c>
      <c r="B410" s="401">
        <f t="shared" si="123"/>
        <v>40682</v>
      </c>
      <c r="D410" s="390">
        <v>39881.57</v>
      </c>
      <c r="E410" s="387">
        <v>39881.57</v>
      </c>
      <c r="F410" s="387">
        <f t="shared" si="111"/>
        <v>-148.37999999999738</v>
      </c>
      <c r="G410" s="388">
        <f t="shared" si="112"/>
        <v>-3.7067245899632395E-3</v>
      </c>
      <c r="H410" s="387">
        <f t="shared" si="108"/>
        <v>17025.72</v>
      </c>
      <c r="I410" s="388">
        <f t="shared" si="109"/>
        <v>0.74491738438955468</v>
      </c>
      <c r="L410" s="369">
        <v>1343.6</v>
      </c>
      <c r="M410" s="394">
        <f t="shared" si="128"/>
        <v>-3.7444852259668204E-3</v>
      </c>
      <c r="N410" s="394">
        <f t="shared" si="116"/>
        <v>0.44460691553414744</v>
      </c>
      <c r="O410" s="395" t="str">
        <f t="shared" si="117"/>
        <v>Yes</v>
      </c>
      <c r="P410" s="396">
        <f t="shared" si="120"/>
        <v>1</v>
      </c>
      <c r="Q410" s="394">
        <f>SUM($P$4:P410)/COUNT($P$4:P410)</f>
        <v>0.53562653562653562</v>
      </c>
      <c r="W410" s="396">
        <f t="shared" si="121"/>
        <v>0</v>
      </c>
      <c r="X410" s="394" t="e">
        <f>SUM($W$4:W410)/COUNT($W$4:W410)</f>
        <v>#DIV/0!</v>
      </c>
    </row>
    <row r="411" spans="1:24" x14ac:dyDescent="0.15">
      <c r="A411" s="384">
        <f t="shared" si="118"/>
        <v>409</v>
      </c>
      <c r="B411" s="401">
        <f t="shared" si="123"/>
        <v>40689</v>
      </c>
      <c r="D411" s="390">
        <v>38313.910000000003</v>
      </c>
      <c r="E411" s="387">
        <v>38313.910000000003</v>
      </c>
      <c r="F411" s="387">
        <f t="shared" si="111"/>
        <v>-1567.6599999999962</v>
      </c>
      <c r="G411" s="388">
        <f t="shared" si="112"/>
        <v>-3.9307880808102547E-2</v>
      </c>
      <c r="H411" s="387">
        <f t="shared" si="108"/>
        <v>15458.060000000005</v>
      </c>
      <c r="I411" s="388">
        <f t="shared" si="109"/>
        <v>0.67632837982398408</v>
      </c>
      <c r="L411" s="369">
        <v>1331.1</v>
      </c>
      <c r="M411" s="394">
        <f t="shared" si="128"/>
        <v>-9.3033640964572673E-3</v>
      </c>
      <c r="N411" s="394">
        <f t="shared" si="116"/>
        <v>0.43116721142267322</v>
      </c>
      <c r="O411" s="395" t="str">
        <f t="shared" si="117"/>
        <v>No</v>
      </c>
      <c r="P411" s="396">
        <f t="shared" si="120"/>
        <v>0</v>
      </c>
      <c r="Q411" s="394">
        <f>SUM($P$4:P411)/COUNT($P$4:P411)</f>
        <v>0.53431372549019607</v>
      </c>
      <c r="W411" s="396">
        <f t="shared" si="121"/>
        <v>0</v>
      </c>
      <c r="X411" s="394" t="e">
        <f>SUM($W$4:W411)/COUNT($W$4:W411)</f>
        <v>#DIV/0!</v>
      </c>
    </row>
    <row r="412" spans="1:24" x14ac:dyDescent="0.15">
      <c r="A412" s="384">
        <f t="shared" si="118"/>
        <v>410</v>
      </c>
      <c r="B412" s="401">
        <f t="shared" si="123"/>
        <v>40696</v>
      </c>
      <c r="D412" s="390">
        <v>38064.29</v>
      </c>
      <c r="E412" s="387">
        <v>38064.29</v>
      </c>
      <c r="F412" s="387">
        <f t="shared" si="111"/>
        <v>-249.62000000000262</v>
      </c>
      <c r="G412" s="388">
        <f t="shared" si="112"/>
        <v>-6.5151272736194699E-3</v>
      </c>
      <c r="H412" s="387">
        <f t="shared" si="108"/>
        <v>15208.440000000002</v>
      </c>
      <c r="I412" s="388">
        <f t="shared" si="109"/>
        <v>0.66540688707705042</v>
      </c>
      <c r="L412" s="369">
        <v>1300.1600000000001</v>
      </c>
      <c r="M412" s="394">
        <f t="shared" si="128"/>
        <v>-2.324393358876109E-2</v>
      </c>
      <c r="N412" s="394">
        <f t="shared" si="116"/>
        <v>0.39790125580595226</v>
      </c>
      <c r="O412" s="395" t="str">
        <f t="shared" si="117"/>
        <v>Yes</v>
      </c>
      <c r="P412" s="396">
        <f t="shared" si="120"/>
        <v>1</v>
      </c>
      <c r="Q412" s="394">
        <f>SUM($P$4:P412)/COUNT($P$4:P412)</f>
        <v>0.53545232273838628</v>
      </c>
      <c r="W412" s="396">
        <f t="shared" si="121"/>
        <v>0</v>
      </c>
      <c r="X412" s="394" t="e">
        <f>SUM($W$4:W412)/COUNT($W$4:W412)</f>
        <v>#DIV/0!</v>
      </c>
    </row>
    <row r="413" spans="1:24" x14ac:dyDescent="0.15">
      <c r="A413" s="384">
        <f t="shared" si="118"/>
        <v>411</v>
      </c>
      <c r="B413" s="401">
        <f t="shared" si="123"/>
        <v>40703</v>
      </c>
      <c r="D413" s="390">
        <v>37146.99</v>
      </c>
      <c r="E413" s="387">
        <v>37146.99</v>
      </c>
      <c r="F413" s="387">
        <f t="shared" si="111"/>
        <v>-917.30000000000291</v>
      </c>
      <c r="G413" s="388">
        <f t="shared" si="112"/>
        <v>-2.4098702484664836E-2</v>
      </c>
      <c r="H413" s="387">
        <f t="shared" si="108"/>
        <v>14291.14</v>
      </c>
      <c r="I413" s="388">
        <f t="shared" si="109"/>
        <v>0.62527274198946881</v>
      </c>
      <c r="L413" s="369">
        <v>1270.98</v>
      </c>
      <c r="M413" s="394">
        <f t="shared" si="128"/>
        <v>-2.2443391582574468E-2</v>
      </c>
      <c r="N413" s="394">
        <f t="shared" si="116"/>
        <v>0.36652761052812655</v>
      </c>
      <c r="O413" s="395" t="str">
        <f t="shared" si="117"/>
        <v>No</v>
      </c>
      <c r="P413" s="396">
        <f t="shared" si="120"/>
        <v>0</v>
      </c>
      <c r="Q413" s="394">
        <f>SUM($P$4:P413)/COUNT($P$4:P413)</f>
        <v>0.53414634146341466</v>
      </c>
      <c r="W413" s="396">
        <f t="shared" si="121"/>
        <v>0</v>
      </c>
      <c r="X413" s="394" t="e">
        <f>SUM($W$4:W413)/COUNT($W$4:W413)</f>
        <v>#DIV/0!</v>
      </c>
    </row>
    <row r="414" spans="1:24" x14ac:dyDescent="0.15">
      <c r="A414" s="384">
        <f t="shared" si="118"/>
        <v>412</v>
      </c>
      <c r="B414" s="401">
        <f t="shared" si="123"/>
        <v>40710</v>
      </c>
      <c r="D414" s="390">
        <v>36813.47</v>
      </c>
      <c r="E414" s="387">
        <v>36813.47</v>
      </c>
      <c r="F414" s="387">
        <f t="shared" si="111"/>
        <v>-333.5199999999968</v>
      </c>
      <c r="G414" s="388">
        <f t="shared" si="112"/>
        <v>-8.9783855973255555E-3</v>
      </c>
      <c r="H414" s="387">
        <f t="shared" si="108"/>
        <v>13957.620000000003</v>
      </c>
      <c r="I414" s="388">
        <f t="shared" si="109"/>
        <v>0.61068041661106465</v>
      </c>
      <c r="L414" s="369">
        <v>1271.5</v>
      </c>
      <c r="M414" s="394">
        <f t="shared" si="128"/>
        <v>4.0913310988366369E-4</v>
      </c>
      <c r="N414" s="394">
        <f t="shared" si="116"/>
        <v>0.36708670221916395</v>
      </c>
      <c r="O414" s="395" t="str">
        <f t="shared" si="117"/>
        <v>No</v>
      </c>
      <c r="P414" s="396">
        <f t="shared" si="120"/>
        <v>0</v>
      </c>
      <c r="Q414" s="394">
        <f>SUM($P$4:P414)/COUNT($P$4:P414)</f>
        <v>0.53284671532846717</v>
      </c>
      <c r="W414" s="396">
        <f t="shared" si="121"/>
        <v>0</v>
      </c>
      <c r="X414" s="394" t="e">
        <f>SUM($W$4:W414)/COUNT($W$4:W414)</f>
        <v>#DIV/0!</v>
      </c>
    </row>
    <row r="415" spans="1:24" x14ac:dyDescent="0.15">
      <c r="A415" s="384">
        <f t="shared" si="118"/>
        <v>413</v>
      </c>
      <c r="B415" s="401">
        <f t="shared" si="123"/>
        <v>40717</v>
      </c>
      <c r="D415" s="390">
        <v>37435.67</v>
      </c>
      <c r="E415" s="387">
        <v>37435.67</v>
      </c>
      <c r="F415" s="387">
        <f t="shared" si="111"/>
        <v>622.19999999999709</v>
      </c>
      <c r="G415" s="388">
        <f t="shared" si="112"/>
        <v>1.6901422223984719E-2</v>
      </c>
      <c r="H415" s="387">
        <f t="shared" si="108"/>
        <v>14579.82</v>
      </c>
      <c r="I415" s="388">
        <f t="shared" si="109"/>
        <v>0.637903206400112</v>
      </c>
      <c r="L415" s="369">
        <v>1268.45</v>
      </c>
      <c r="M415" s="394">
        <f t="shared" si="128"/>
        <v>-2.3987416437278863E-3</v>
      </c>
      <c r="N415" s="394">
        <f t="shared" si="116"/>
        <v>0.3638074144159642</v>
      </c>
      <c r="O415" s="395" t="str">
        <f t="shared" si="117"/>
        <v>Yes</v>
      </c>
      <c r="P415" s="396">
        <f t="shared" si="120"/>
        <v>1</v>
      </c>
      <c r="Q415" s="394">
        <f>SUM($P$4:P415)/COUNT($P$4:P415)</f>
        <v>0.53398058252427183</v>
      </c>
      <c r="W415" s="396">
        <f t="shared" si="121"/>
        <v>0</v>
      </c>
      <c r="X415" s="394" t="e">
        <f>SUM($W$4:W415)/COUNT($W$4:W415)</f>
        <v>#DIV/0!</v>
      </c>
    </row>
    <row r="416" spans="1:24" x14ac:dyDescent="0.15">
      <c r="A416" s="384">
        <f t="shared" si="118"/>
        <v>414</v>
      </c>
      <c r="B416" s="401">
        <f t="shared" si="123"/>
        <v>40724</v>
      </c>
      <c r="D416" s="390">
        <v>38107.410000000003</v>
      </c>
      <c r="E416" s="387">
        <v>38107.410000000003</v>
      </c>
      <c r="F416" s="387">
        <f t="shared" si="111"/>
        <v>671.74000000000524</v>
      </c>
      <c r="G416" s="388">
        <f t="shared" si="112"/>
        <v>1.7943848741053703E-2</v>
      </c>
      <c r="H416" s="387">
        <f t="shared" si="108"/>
        <v>15251.560000000005</v>
      </c>
      <c r="I416" s="388">
        <f t="shared" si="109"/>
        <v>0.66729349378824265</v>
      </c>
      <c r="L416" s="369">
        <v>1339.67</v>
      </c>
      <c r="M416" s="394">
        <f t="shared" si="128"/>
        <v>5.614726634869327E-2</v>
      </c>
      <c r="N416" s="394">
        <f t="shared" si="116"/>
        <v>0.44038147256150006</v>
      </c>
      <c r="O416" s="395" t="str">
        <f t="shared" si="117"/>
        <v>No</v>
      </c>
      <c r="P416" s="396">
        <f t="shared" si="120"/>
        <v>0</v>
      </c>
      <c r="Q416" s="394">
        <f>SUM($P$4:P416)/COUNT($P$4:P416)</f>
        <v>0.53268765133171914</v>
      </c>
      <c r="W416" s="396">
        <f t="shared" si="121"/>
        <v>0</v>
      </c>
      <c r="X416" s="394" t="e">
        <f>SUM($W$4:W416)/COUNT($W$4:W416)</f>
        <v>#DIV/0!</v>
      </c>
    </row>
    <row r="417" spans="1:24" x14ac:dyDescent="0.15">
      <c r="A417" s="384">
        <f t="shared" si="118"/>
        <v>415</v>
      </c>
      <c r="B417" s="401">
        <f t="shared" si="123"/>
        <v>40731</v>
      </c>
      <c r="D417" s="390">
        <v>38862.03</v>
      </c>
      <c r="E417" s="387">
        <v>38862.03</v>
      </c>
      <c r="F417" s="387">
        <f t="shared" si="111"/>
        <v>754.61999999999534</v>
      </c>
      <c r="G417" s="388">
        <f t="shared" si="112"/>
        <v>1.9802447870374662E-2</v>
      </c>
      <c r="H417" s="387">
        <f t="shared" si="108"/>
        <v>16006.18</v>
      </c>
      <c r="I417" s="388">
        <f t="shared" si="109"/>
        <v>0.70030998628359931</v>
      </c>
      <c r="L417" s="369">
        <v>1343.8</v>
      </c>
      <c r="M417" s="394">
        <f t="shared" si="128"/>
        <v>3.0828487612619693E-3</v>
      </c>
      <c r="N417" s="394">
        <f t="shared" si="116"/>
        <v>0.44482195079993114</v>
      </c>
      <c r="O417" s="395" t="str">
        <f t="shared" si="117"/>
        <v>Yes</v>
      </c>
      <c r="P417" s="396">
        <f t="shared" si="120"/>
        <v>1</v>
      </c>
      <c r="Q417" s="394">
        <f>SUM($P$4:P417)/COUNT($P$4:P417)</f>
        <v>0.53381642512077299</v>
      </c>
      <c r="W417" s="396">
        <f t="shared" si="121"/>
        <v>0</v>
      </c>
      <c r="X417" s="394" t="e">
        <f>SUM($W$4:W417)/COUNT($W$4:W417)</f>
        <v>#DIV/0!</v>
      </c>
    </row>
    <row r="418" spans="1:24" x14ac:dyDescent="0.15">
      <c r="A418" s="384">
        <f t="shared" si="118"/>
        <v>416</v>
      </c>
      <c r="B418" s="401">
        <f t="shared" si="123"/>
        <v>40738</v>
      </c>
      <c r="D418" s="390">
        <v>37805.71</v>
      </c>
      <c r="E418" s="387">
        <v>37805.71</v>
      </c>
      <c r="F418" s="387">
        <f t="shared" si="111"/>
        <v>-1056.3199999999997</v>
      </c>
      <c r="G418" s="388">
        <f t="shared" si="112"/>
        <v>-2.7181287235895857E-2</v>
      </c>
      <c r="H418" s="387">
        <f t="shared" si="108"/>
        <v>14949.86</v>
      </c>
      <c r="I418" s="388">
        <f t="shared" si="109"/>
        <v>0.65409337215636265</v>
      </c>
      <c r="L418" s="369">
        <v>1316.14</v>
      </c>
      <c r="M418" s="394">
        <f t="shared" si="128"/>
        <v>-2.0583420151808252E-2</v>
      </c>
      <c r="N418" s="394">
        <f t="shared" si="116"/>
        <v>0.41508257354206091</v>
      </c>
      <c r="O418" s="395" t="str">
        <f t="shared" si="117"/>
        <v>No</v>
      </c>
      <c r="P418" s="396">
        <f t="shared" si="120"/>
        <v>0</v>
      </c>
      <c r="Q418" s="394">
        <f>SUM($P$4:P418)/COUNT($P$4:P418)</f>
        <v>0.53253012048192772</v>
      </c>
      <c r="W418" s="396">
        <f t="shared" si="121"/>
        <v>0</v>
      </c>
      <c r="X418" s="394" t="e">
        <f>SUM($W$4:W418)/COUNT($W$4:W418)</f>
        <v>#DIV/0!</v>
      </c>
    </row>
    <row r="419" spans="1:24" x14ac:dyDescent="0.15">
      <c r="A419" s="384">
        <f t="shared" si="118"/>
        <v>417</v>
      </c>
      <c r="B419" s="401">
        <f t="shared" si="123"/>
        <v>40745</v>
      </c>
      <c r="D419" s="390">
        <v>38336.769999999997</v>
      </c>
      <c r="E419" s="387">
        <v>38336.769999999997</v>
      </c>
      <c r="F419" s="387">
        <f t="shared" si="111"/>
        <v>531.05999999999767</v>
      </c>
      <c r="G419" s="388">
        <f t="shared" si="112"/>
        <v>1.4047084421903389E-2</v>
      </c>
      <c r="H419" s="387">
        <f t="shared" si="108"/>
        <v>15480.919999999998</v>
      </c>
      <c r="I419" s="388">
        <f t="shared" si="109"/>
        <v>0.6773285613967539</v>
      </c>
      <c r="L419" s="369">
        <v>1345.02</v>
      </c>
      <c r="M419" s="394">
        <f t="shared" si="128"/>
        <v>2.1942954396948489E-2</v>
      </c>
      <c r="N419" s="394">
        <f t="shared" si="116"/>
        <v>0.44613366592121095</v>
      </c>
      <c r="O419" s="395" t="str">
        <f t="shared" si="117"/>
        <v>No</v>
      </c>
      <c r="P419" s="396">
        <f t="shared" si="120"/>
        <v>0</v>
      </c>
      <c r="Q419" s="394">
        <f>SUM($P$4:P419)/COUNT($P$4:P419)</f>
        <v>0.53125</v>
      </c>
      <c r="W419" s="396">
        <f t="shared" si="121"/>
        <v>0</v>
      </c>
      <c r="X419" s="394" t="e">
        <f>SUM($W$4:W419)/COUNT($W$4:W419)</f>
        <v>#DIV/0!</v>
      </c>
    </row>
    <row r="420" spans="1:24" x14ac:dyDescent="0.15">
      <c r="A420" s="384">
        <f t="shared" si="118"/>
        <v>418</v>
      </c>
      <c r="B420" s="401">
        <f t="shared" si="123"/>
        <v>40752</v>
      </c>
      <c r="D420" s="390">
        <v>36902.33</v>
      </c>
      <c r="E420" s="387">
        <v>36902.33</v>
      </c>
      <c r="F420" s="387">
        <f t="shared" si="111"/>
        <v>-1434.4399999999951</v>
      </c>
      <c r="G420" s="388">
        <f t="shared" si="112"/>
        <v>-3.7416819413842006E-2</v>
      </c>
      <c r="H420" s="387">
        <f t="shared" si="108"/>
        <v>14046.480000000003</v>
      </c>
      <c r="I420" s="388">
        <f t="shared" si="109"/>
        <v>0.61456826151729227</v>
      </c>
      <c r="L420" s="369">
        <v>1292.28</v>
      </c>
      <c r="M420" s="394">
        <f t="shared" si="128"/>
        <v>-3.9211312842931667E-2</v>
      </c>
      <c r="N420" s="394">
        <f t="shared" si="116"/>
        <v>0.3894288663340788</v>
      </c>
      <c r="O420" s="395" t="str">
        <f t="shared" si="117"/>
        <v>Yes</v>
      </c>
      <c r="P420" s="396">
        <f t="shared" si="120"/>
        <v>1</v>
      </c>
      <c r="Q420" s="394">
        <f>SUM($P$4:P420)/COUNT($P$4:P420)</f>
        <v>0.53237410071942448</v>
      </c>
      <c r="W420" s="396">
        <f t="shared" si="121"/>
        <v>0</v>
      </c>
      <c r="X420" s="394" t="e">
        <f>SUM($W$4:W420)/COUNT($W$4:W420)</f>
        <v>#DIV/0!</v>
      </c>
    </row>
    <row r="421" spans="1:24" x14ac:dyDescent="0.15">
      <c r="A421" s="384">
        <f t="shared" si="118"/>
        <v>419</v>
      </c>
      <c r="B421" s="401">
        <f t="shared" si="123"/>
        <v>40759</v>
      </c>
      <c r="D421" s="390">
        <v>34582.33</v>
      </c>
      <c r="E421" s="387">
        <v>34582.33</v>
      </c>
      <c r="F421" s="387">
        <f t="shared" si="111"/>
        <v>-2320</v>
      </c>
      <c r="G421" s="388">
        <f t="shared" si="112"/>
        <v>-6.2868658970856361E-2</v>
      </c>
      <c r="H421" s="387">
        <f t="shared" si="108"/>
        <v>11726.480000000003</v>
      </c>
      <c r="I421" s="388">
        <f t="shared" si="109"/>
        <v>0.51306252009879327</v>
      </c>
      <c r="L421" s="369">
        <v>1199.3800000000001</v>
      </c>
      <c r="M421" s="394">
        <f t="shared" si="128"/>
        <v>-7.1888445228588171E-2</v>
      </c>
      <c r="N421" s="394">
        <f t="shared" si="116"/>
        <v>0.28954498537760198</v>
      </c>
      <c r="O421" s="395" t="str">
        <f t="shared" si="117"/>
        <v>Yes</v>
      </c>
      <c r="P421" s="396">
        <f t="shared" si="120"/>
        <v>1</v>
      </c>
      <c r="Q421" s="394">
        <f>SUM($P$4:P421)/COUNT($P$4:P421)</f>
        <v>0.53349282296650713</v>
      </c>
      <c r="W421" s="396">
        <f t="shared" si="121"/>
        <v>0</v>
      </c>
      <c r="X421" s="394" t="e">
        <f>SUM($W$4:W421)/COUNT($W$4:W421)</f>
        <v>#DIV/0!</v>
      </c>
    </row>
    <row r="422" spans="1:24" x14ac:dyDescent="0.15">
      <c r="A422" s="384">
        <f t="shared" si="118"/>
        <v>420</v>
      </c>
      <c r="B422" s="401">
        <f t="shared" si="123"/>
        <v>40766</v>
      </c>
      <c r="D422" s="390">
        <v>33741.78</v>
      </c>
      <c r="E422" s="387">
        <v>33741.78</v>
      </c>
      <c r="F422" s="387">
        <f t="shared" si="111"/>
        <v>-840.55000000000291</v>
      </c>
      <c r="G422" s="388">
        <f t="shared" si="112"/>
        <v>-2.4305765401001156E-2</v>
      </c>
      <c r="H422" s="387">
        <f t="shared" si="108"/>
        <v>10885.93</v>
      </c>
      <c r="I422" s="388">
        <f t="shared" si="109"/>
        <v>0.47628637744822444</v>
      </c>
      <c r="L422" s="369">
        <v>1178.81</v>
      </c>
      <c r="M422" s="394">
        <f t="shared" si="128"/>
        <v>-1.7150527772682667E-2</v>
      </c>
      <c r="N422" s="394">
        <f t="shared" si="116"/>
        <v>0.26742860829175963</v>
      </c>
      <c r="O422" s="395" t="str">
        <f t="shared" si="117"/>
        <v>No</v>
      </c>
      <c r="P422" s="396">
        <f t="shared" si="120"/>
        <v>0</v>
      </c>
      <c r="Q422" s="394">
        <f>SUM($P$4:P422)/COUNT($P$4:P422)</f>
        <v>0.53221957040572787</v>
      </c>
      <c r="W422" s="396">
        <f t="shared" si="121"/>
        <v>0</v>
      </c>
      <c r="X422" s="394" t="e">
        <f>SUM($W$4:W422)/COUNT($W$4:W422)</f>
        <v>#DIV/0!</v>
      </c>
    </row>
    <row r="423" spans="1:24" x14ac:dyDescent="0.15">
      <c r="A423" s="384">
        <f t="shared" si="118"/>
        <v>421</v>
      </c>
      <c r="B423" s="401">
        <f t="shared" si="123"/>
        <v>40773</v>
      </c>
      <c r="D423" s="390">
        <v>33059.879999999997</v>
      </c>
      <c r="E423" s="387">
        <v>33059.879999999997</v>
      </c>
      <c r="F423" s="387">
        <f t="shared" si="111"/>
        <v>-681.90000000000146</v>
      </c>
      <c r="G423" s="388">
        <f t="shared" si="112"/>
        <v>-2.0209366547941476E-2</v>
      </c>
      <c r="H423" s="387">
        <f t="shared" si="108"/>
        <v>10204.029999999999</v>
      </c>
      <c r="I423" s="388">
        <f t="shared" si="109"/>
        <v>0.44645156491664051</v>
      </c>
      <c r="L423" s="369">
        <v>1123.53</v>
      </c>
      <c r="M423" s="394">
        <f t="shared" si="128"/>
        <v>-4.6894749790042489E-2</v>
      </c>
      <c r="N423" s="394">
        <f t="shared" si="116"/>
        <v>0.2079928608291759</v>
      </c>
      <c r="O423" s="395" t="str">
        <f t="shared" si="117"/>
        <v>Yes</v>
      </c>
      <c r="P423" s="396">
        <f t="shared" si="120"/>
        <v>1</v>
      </c>
      <c r="Q423" s="394">
        <f>SUM($P$4:P423)/COUNT($P$4:P423)</f>
        <v>0.53333333333333333</v>
      </c>
      <c r="W423" s="396">
        <f t="shared" si="121"/>
        <v>0</v>
      </c>
      <c r="X423" s="394" t="e">
        <f>SUM($W$4:W423)/COUNT($W$4:W423)</f>
        <v>#DIV/0!</v>
      </c>
    </row>
    <row r="424" spans="1:24" x14ac:dyDescent="0.15">
      <c r="A424" s="384">
        <f t="shared" si="118"/>
        <v>422</v>
      </c>
      <c r="B424" s="401">
        <f t="shared" si="123"/>
        <v>40780</v>
      </c>
      <c r="D424" s="390">
        <v>33658.54</v>
      </c>
      <c r="E424" s="387">
        <v>33658.54</v>
      </c>
      <c r="F424" s="387">
        <f t="shared" si="111"/>
        <v>598.66000000000349</v>
      </c>
      <c r="G424" s="388">
        <f t="shared" si="112"/>
        <v>1.8108353690334145E-2</v>
      </c>
      <c r="H424" s="387">
        <f t="shared" si="108"/>
        <v>10802.690000000002</v>
      </c>
      <c r="I424" s="388">
        <f t="shared" si="109"/>
        <v>0.47264442145008845</v>
      </c>
      <c r="L424" s="369">
        <v>1159.27</v>
      </c>
      <c r="M424" s="394">
        <f t="shared" si="128"/>
        <v>3.1810454549500156E-2</v>
      </c>
      <c r="N424" s="394">
        <f t="shared" si="116"/>
        <v>0.24641966282470307</v>
      </c>
      <c r="O424" s="395" t="str">
        <f t="shared" si="117"/>
        <v>No</v>
      </c>
      <c r="P424" s="396">
        <f t="shared" si="120"/>
        <v>0</v>
      </c>
      <c r="Q424" s="394">
        <f>SUM($P$4:P424)/COUNT($P$4:P424)</f>
        <v>0.53206650831353919</v>
      </c>
      <c r="W424" s="396">
        <f t="shared" si="121"/>
        <v>0</v>
      </c>
      <c r="X424" s="394" t="e">
        <f>SUM($W$4:W424)/COUNT($W$4:W424)</f>
        <v>#DIV/0!</v>
      </c>
    </row>
    <row r="425" spans="1:24" x14ac:dyDescent="0.15">
      <c r="A425" s="384">
        <f t="shared" si="118"/>
        <v>423</v>
      </c>
      <c r="B425" s="401">
        <f t="shared" si="123"/>
        <v>40787</v>
      </c>
      <c r="D425" s="390">
        <v>34778.03</v>
      </c>
      <c r="E425" s="387">
        <v>34778.03</v>
      </c>
      <c r="F425" s="387">
        <f t="shared" si="111"/>
        <v>1119.489999999998</v>
      </c>
      <c r="G425" s="388">
        <f t="shared" si="112"/>
        <v>3.3260206770703515E-2</v>
      </c>
      <c r="H425" s="387">
        <f t="shared" ref="H425:H488" si="129">E425-$D$3</f>
        <v>11922.18</v>
      </c>
      <c r="I425" s="388">
        <f t="shared" ref="I425:I488" si="130">(E425/$D$3)-1</f>
        <v>0.52162487940724156</v>
      </c>
      <c r="L425" s="369">
        <v>1204.42</v>
      </c>
      <c r="M425" s="394">
        <f t="shared" si="128"/>
        <v>3.8946923494958208E-2</v>
      </c>
      <c r="N425" s="394">
        <f t="shared" si="116"/>
        <v>0.29496387407534841</v>
      </c>
      <c r="O425" s="395" t="str">
        <f t="shared" si="117"/>
        <v>No</v>
      </c>
      <c r="P425" s="396">
        <f t="shared" si="120"/>
        <v>0</v>
      </c>
      <c r="Q425" s="394">
        <f>SUM($P$4:P425)/COUNT($P$4:P425)</f>
        <v>0.53080568720379151</v>
      </c>
      <c r="W425" s="396">
        <f t="shared" si="121"/>
        <v>0</v>
      </c>
      <c r="X425" s="394" t="e">
        <f>SUM($W$4:W425)/COUNT($W$4:W425)</f>
        <v>#DIV/0!</v>
      </c>
    </row>
    <row r="426" spans="1:24" x14ac:dyDescent="0.15">
      <c r="A426" s="384">
        <f t="shared" si="118"/>
        <v>424</v>
      </c>
      <c r="B426" s="401">
        <f t="shared" si="123"/>
        <v>40794</v>
      </c>
      <c r="D426" s="390">
        <v>34369.410000000003</v>
      </c>
      <c r="E426" s="387">
        <v>34369.410000000003</v>
      </c>
      <c r="F426" s="387">
        <f t="shared" si="111"/>
        <v>-408.61999999999534</v>
      </c>
      <c r="G426" s="388">
        <f t="shared" si="112"/>
        <v>-1.1749371657911456E-2</v>
      </c>
      <c r="H426" s="387">
        <f t="shared" si="129"/>
        <v>11513.560000000005</v>
      </c>
      <c r="I426" s="388">
        <f t="shared" si="130"/>
        <v>0.50374674317516099</v>
      </c>
      <c r="L426" s="369">
        <v>1154.23</v>
      </c>
      <c r="M426" s="394">
        <f t="shared" si="128"/>
        <v>-4.1671509938393636E-2</v>
      </c>
      <c r="N426" s="394">
        <f t="shared" si="116"/>
        <v>0.24100077412695686</v>
      </c>
      <c r="O426" s="395" t="str">
        <f t="shared" si="117"/>
        <v>Yes</v>
      </c>
      <c r="P426" s="396">
        <f t="shared" si="120"/>
        <v>1</v>
      </c>
      <c r="Q426" s="394">
        <f>SUM($P$4:P426)/COUNT($P$4:P426)</f>
        <v>0.53191489361702127</v>
      </c>
      <c r="W426" s="396">
        <f t="shared" si="121"/>
        <v>0</v>
      </c>
      <c r="X426" s="394" t="e">
        <f>SUM($W$4:W426)/COUNT($W$4:W426)</f>
        <v>#DIV/0!</v>
      </c>
    </row>
    <row r="427" spans="1:24" x14ac:dyDescent="0.15">
      <c r="A427" s="384">
        <f t="shared" si="118"/>
        <v>425</v>
      </c>
      <c r="B427" s="401">
        <f t="shared" si="123"/>
        <v>40801</v>
      </c>
      <c r="D427" s="390">
        <v>34890.93</v>
      </c>
      <c r="E427" s="387">
        <v>34890.93</v>
      </c>
      <c r="F427" s="387">
        <f t="shared" si="111"/>
        <v>521.5199999999968</v>
      </c>
      <c r="G427" s="388">
        <f t="shared" si="112"/>
        <v>1.5173958470628301E-2</v>
      </c>
      <c r="H427" s="387">
        <f t="shared" si="129"/>
        <v>12035.080000000002</v>
      </c>
      <c r="I427" s="388">
        <f t="shared" si="130"/>
        <v>0.52656453380644352</v>
      </c>
      <c r="L427" s="369">
        <v>1216.01</v>
      </c>
      <c r="M427" s="394">
        <f t="shared" si="128"/>
        <v>5.3524860729663892E-2</v>
      </c>
      <c r="N427" s="394">
        <f t="shared" si="116"/>
        <v>0.30742516772750728</v>
      </c>
      <c r="O427" s="395" t="str">
        <f t="shared" si="117"/>
        <v>No</v>
      </c>
      <c r="P427" s="396">
        <f t="shared" si="120"/>
        <v>0</v>
      </c>
      <c r="Q427" s="394">
        <f>SUM($P$4:P427)/COUNT($P$4:P427)</f>
        <v>0.53066037735849059</v>
      </c>
      <c r="W427" s="396">
        <f t="shared" si="121"/>
        <v>0</v>
      </c>
      <c r="X427" s="394" t="e">
        <f>SUM($W$4:W427)/COUNT($W$4:W427)</f>
        <v>#DIV/0!</v>
      </c>
    </row>
    <row r="428" spans="1:24" x14ac:dyDescent="0.15">
      <c r="A428" s="384">
        <f t="shared" si="118"/>
        <v>426</v>
      </c>
      <c r="B428" s="401">
        <f t="shared" si="123"/>
        <v>40808</v>
      </c>
      <c r="D428" s="390">
        <v>32716.34</v>
      </c>
      <c r="E428" s="387">
        <v>32716.34</v>
      </c>
      <c r="F428" s="387">
        <f t="shared" si="111"/>
        <v>-2174.59</v>
      </c>
      <c r="G428" s="388">
        <f t="shared" si="112"/>
        <v>-6.2325366506424507E-2</v>
      </c>
      <c r="H428" s="387">
        <f t="shared" si="129"/>
        <v>9860.4900000000016</v>
      </c>
      <c r="I428" s="388">
        <f t="shared" si="130"/>
        <v>0.43142083974124801</v>
      </c>
      <c r="L428" s="369">
        <v>1136.43</v>
      </c>
      <c r="M428" s="394">
        <f t="shared" si="128"/>
        <v>-6.5443540760355523E-2</v>
      </c>
      <c r="N428" s="394">
        <f t="shared" si="116"/>
        <v>0.22186263547221752</v>
      </c>
      <c r="O428" s="395" t="str">
        <f t="shared" si="117"/>
        <v>Yes</v>
      </c>
      <c r="P428" s="396">
        <f t="shared" si="120"/>
        <v>1</v>
      </c>
      <c r="Q428" s="394">
        <f>SUM($P$4:P428)/COUNT($P$4:P428)</f>
        <v>0.53176470588235292</v>
      </c>
      <c r="W428" s="396">
        <f t="shared" si="121"/>
        <v>0</v>
      </c>
      <c r="X428" s="394" t="e">
        <f>SUM($W$4:W428)/COUNT($W$4:W428)</f>
        <v>#DIV/0!</v>
      </c>
    </row>
    <row r="429" spans="1:24" x14ac:dyDescent="0.15">
      <c r="A429" s="384">
        <f t="shared" si="118"/>
        <v>427</v>
      </c>
      <c r="B429" s="401">
        <f t="shared" si="123"/>
        <v>40815</v>
      </c>
      <c r="D429" s="390">
        <v>33129.85</v>
      </c>
      <c r="E429" s="387">
        <v>33129.85</v>
      </c>
      <c r="F429" s="387">
        <f t="shared" si="111"/>
        <v>413.5099999999984</v>
      </c>
      <c r="G429" s="388">
        <f t="shared" si="112"/>
        <v>1.2639249989454759E-2</v>
      </c>
      <c r="H429" s="387">
        <f t="shared" si="129"/>
        <v>10274</v>
      </c>
      <c r="I429" s="388">
        <f t="shared" si="130"/>
        <v>0.4495129255748529</v>
      </c>
      <c r="L429" s="369">
        <v>1131.42</v>
      </c>
      <c r="M429" s="394">
        <f t="shared" si="128"/>
        <v>-4.4085425411155565E-3</v>
      </c>
      <c r="N429" s="394">
        <f t="shared" si="116"/>
        <v>0.21647600206433859</v>
      </c>
      <c r="O429" s="395" t="str">
        <f t="shared" si="117"/>
        <v>Yes</v>
      </c>
      <c r="P429" s="396">
        <f t="shared" si="120"/>
        <v>1</v>
      </c>
      <c r="Q429" s="394">
        <f>SUM($P$4:P429)/COUNT($P$4:P429)</f>
        <v>0.53286384976525825</v>
      </c>
      <c r="W429" s="396">
        <f t="shared" si="121"/>
        <v>0</v>
      </c>
      <c r="X429" s="394" t="e">
        <f>SUM($W$4:W429)/COUNT($W$4:W429)</f>
        <v>#DIV/0!</v>
      </c>
    </row>
    <row r="430" spans="1:24" x14ac:dyDescent="0.15">
      <c r="A430" s="384">
        <f t="shared" si="118"/>
        <v>428</v>
      </c>
      <c r="B430" s="401">
        <f t="shared" si="123"/>
        <v>40822</v>
      </c>
      <c r="D430" s="390">
        <v>34158.519999999997</v>
      </c>
      <c r="E430" s="387">
        <v>34158.519999999997</v>
      </c>
      <c r="F430" s="387">
        <f t="shared" si="111"/>
        <v>1028.6699999999983</v>
      </c>
      <c r="G430" s="388">
        <f t="shared" si="112"/>
        <v>3.1049642542903211E-2</v>
      </c>
      <c r="H430" s="387">
        <f t="shared" si="129"/>
        <v>11302.669999999998</v>
      </c>
      <c r="I430" s="388">
        <f t="shared" si="130"/>
        <v>0.49451978377526973</v>
      </c>
      <c r="L430" s="369">
        <v>1164.97</v>
      </c>
      <c r="M430" s="394">
        <f t="shared" si="128"/>
        <v>2.9653002421735408E-2</v>
      </c>
      <c r="N430" s="394">
        <f t="shared" si="116"/>
        <v>0.2525481678995356</v>
      </c>
      <c r="O430" s="395" t="str">
        <f t="shared" si="117"/>
        <v>Yes</v>
      </c>
      <c r="P430" s="396">
        <f t="shared" si="120"/>
        <v>1</v>
      </c>
      <c r="Q430" s="394">
        <f>SUM($P$4:P430)/COUNT($P$4:P430)</f>
        <v>0.53395784543325531</v>
      </c>
      <c r="W430" s="396">
        <f t="shared" si="121"/>
        <v>0</v>
      </c>
      <c r="X430" s="394" t="e">
        <f>SUM($W$4:W430)/COUNT($W$4:W430)</f>
        <v>#DIV/0!</v>
      </c>
    </row>
    <row r="431" spans="1:24" x14ac:dyDescent="0.15">
      <c r="A431" s="384">
        <f t="shared" si="118"/>
        <v>429</v>
      </c>
      <c r="B431" s="401">
        <f t="shared" si="123"/>
        <v>40829</v>
      </c>
      <c r="D431" s="390">
        <v>36089.79</v>
      </c>
      <c r="E431" s="387">
        <v>36089.79</v>
      </c>
      <c r="F431" s="387">
        <f t="shared" ref="F431:F460" si="131">E431-E430</f>
        <v>1931.2700000000041</v>
      </c>
      <c r="G431" s="388">
        <f t="shared" ref="G431:G494" si="132">(E431/E430)-1</f>
        <v>5.653845658418466E-2</v>
      </c>
      <c r="H431" s="387">
        <f t="shared" si="129"/>
        <v>13233.940000000002</v>
      </c>
      <c r="I431" s="388">
        <f t="shared" si="130"/>
        <v>0.57901762568445281</v>
      </c>
      <c r="L431" s="369">
        <v>1203.6600000000001</v>
      </c>
      <c r="M431" s="394">
        <f t="shared" si="128"/>
        <v>3.3211155652076885E-2</v>
      </c>
      <c r="N431" s="394">
        <f t="shared" si="116"/>
        <v>0.29414674006537078</v>
      </c>
      <c r="O431" s="395" t="str">
        <f t="shared" si="117"/>
        <v>Yes</v>
      </c>
      <c r="P431" s="396">
        <f t="shared" si="120"/>
        <v>1</v>
      </c>
      <c r="Q431" s="394">
        <f>SUM($P$4:P431)/COUNT($P$4:P431)</f>
        <v>0.53504672897196259</v>
      </c>
      <c r="W431" s="396">
        <f t="shared" si="121"/>
        <v>0</v>
      </c>
      <c r="X431" s="394" t="e">
        <f>SUM($W$4:W431)/COUNT($W$4:W431)</f>
        <v>#DIV/0!</v>
      </c>
    </row>
    <row r="432" spans="1:24" x14ac:dyDescent="0.15">
      <c r="A432" s="384">
        <f t="shared" si="118"/>
        <v>430</v>
      </c>
      <c r="B432" s="401">
        <f t="shared" si="123"/>
        <v>40836</v>
      </c>
      <c r="D432" s="390">
        <v>36000.46</v>
      </c>
      <c r="E432" s="387">
        <v>36000.46</v>
      </c>
      <c r="F432" s="387">
        <f t="shared" si="131"/>
        <v>-89.330000000001746</v>
      </c>
      <c r="G432" s="388">
        <f t="shared" si="132"/>
        <v>-2.4752152894211843E-3</v>
      </c>
      <c r="H432" s="387">
        <f t="shared" si="129"/>
        <v>13144.61</v>
      </c>
      <c r="I432" s="388">
        <f t="shared" si="130"/>
        <v>0.57510921711509311</v>
      </c>
      <c r="L432" s="369">
        <v>1215.3900000000001</v>
      </c>
      <c r="M432" s="394">
        <f t="shared" si="128"/>
        <v>9.7452769054384714E-3</v>
      </c>
      <c r="N432" s="394">
        <f t="shared" si="116"/>
        <v>0.30675855840357813</v>
      </c>
      <c r="O432" s="395" t="str">
        <f t="shared" si="117"/>
        <v>No</v>
      </c>
      <c r="P432" s="396">
        <f t="shared" si="120"/>
        <v>0</v>
      </c>
      <c r="Q432" s="394">
        <f>SUM($P$4:P432)/COUNT($P$4:P432)</f>
        <v>0.53379953379953382</v>
      </c>
      <c r="W432" s="396">
        <f t="shared" si="121"/>
        <v>0</v>
      </c>
      <c r="X432" s="394" t="e">
        <f>SUM($W$4:W432)/COUNT($W$4:W432)</f>
        <v>#DIV/0!</v>
      </c>
    </row>
    <row r="433" spans="1:24" x14ac:dyDescent="0.15">
      <c r="A433" s="384">
        <f t="shared" si="118"/>
        <v>431</v>
      </c>
      <c r="B433" s="401">
        <f t="shared" si="123"/>
        <v>40843</v>
      </c>
      <c r="D433" s="390">
        <v>38327.5</v>
      </c>
      <c r="E433" s="387">
        <v>38327.5</v>
      </c>
      <c r="F433" s="387">
        <f t="shared" si="131"/>
        <v>2327.0400000000009</v>
      </c>
      <c r="G433" s="388">
        <f t="shared" si="132"/>
        <v>6.4639174054998305E-2</v>
      </c>
      <c r="H433" s="387">
        <f t="shared" si="129"/>
        <v>15471.650000000001</v>
      </c>
      <c r="I433" s="388">
        <f t="shared" si="130"/>
        <v>0.67692297595582751</v>
      </c>
      <c r="L433" s="369">
        <v>1284.5899999999999</v>
      </c>
      <c r="M433" s="394">
        <f t="shared" si="128"/>
        <v>5.6936456610635178E-2</v>
      </c>
      <c r="N433" s="394">
        <f t="shared" si="116"/>
        <v>0.38116076036469959</v>
      </c>
      <c r="O433" s="395" t="str">
        <f t="shared" si="117"/>
        <v>Yes</v>
      </c>
      <c r="P433" s="396">
        <f t="shared" si="120"/>
        <v>1</v>
      </c>
      <c r="Q433" s="394">
        <f>SUM($P$4:P433)/COUNT($P$4:P433)</f>
        <v>0.53488372093023251</v>
      </c>
      <c r="W433" s="396">
        <f t="shared" si="121"/>
        <v>0</v>
      </c>
      <c r="X433" s="394" t="e">
        <f>SUM($W$4:W433)/COUNT($W$4:W433)</f>
        <v>#DIV/0!</v>
      </c>
    </row>
    <row r="434" spans="1:24" x14ac:dyDescent="0.15">
      <c r="A434" s="384">
        <f t="shared" si="118"/>
        <v>432</v>
      </c>
      <c r="B434" s="401">
        <f t="shared" si="123"/>
        <v>40850</v>
      </c>
      <c r="D434" s="390">
        <v>37955.33</v>
      </c>
      <c r="E434" s="387">
        <v>37955.33</v>
      </c>
      <c r="F434" s="387">
        <f t="shared" si="131"/>
        <v>-372.16999999999825</v>
      </c>
      <c r="G434" s="388">
        <f t="shared" si="132"/>
        <v>-9.7102602569956176E-3</v>
      </c>
      <c r="H434" s="387">
        <f t="shared" si="129"/>
        <v>15099.480000000003</v>
      </c>
      <c r="I434" s="388">
        <f t="shared" si="130"/>
        <v>0.66063961742836108</v>
      </c>
      <c r="L434" s="369">
        <v>1261.1500000000001</v>
      </c>
      <c r="M434" s="394">
        <f t="shared" si="128"/>
        <v>-1.8247067157614372E-2</v>
      </c>
      <c r="N434" s="394">
        <f t="shared" si="116"/>
        <v>0.35595862721486338</v>
      </c>
      <c r="O434" s="395" t="str">
        <f t="shared" si="117"/>
        <v>Yes</v>
      </c>
      <c r="P434" s="396">
        <f t="shared" si="120"/>
        <v>1</v>
      </c>
      <c r="Q434" s="394">
        <f>SUM($P$4:P434)/COUNT($P$4:P434)</f>
        <v>0.53596287703016243</v>
      </c>
      <c r="W434" s="396">
        <f t="shared" si="121"/>
        <v>0</v>
      </c>
      <c r="X434" s="394" t="e">
        <f>SUM($W$4:W434)/COUNT($W$4:W434)</f>
        <v>#DIV/0!</v>
      </c>
    </row>
    <row r="435" spans="1:24" x14ac:dyDescent="0.15">
      <c r="A435" s="384">
        <f t="shared" si="118"/>
        <v>433</v>
      </c>
      <c r="B435" s="401">
        <f t="shared" si="123"/>
        <v>40857</v>
      </c>
      <c r="D435" s="390">
        <v>37249.440000000002</v>
      </c>
      <c r="E435" s="387">
        <v>37249.440000000002</v>
      </c>
      <c r="F435" s="387">
        <f t="shared" si="131"/>
        <v>-705.88999999999942</v>
      </c>
      <c r="G435" s="388">
        <f t="shared" si="132"/>
        <v>-1.8597914970045037E-2</v>
      </c>
      <c r="H435" s="387">
        <f t="shared" si="129"/>
        <v>14393.590000000004</v>
      </c>
      <c r="I435" s="388">
        <f t="shared" si="130"/>
        <v>0.6297551830275403</v>
      </c>
      <c r="L435" s="369">
        <v>1263.8499999999999</v>
      </c>
      <c r="M435" s="394">
        <f t="shared" si="128"/>
        <v>2.1409031439558746E-3</v>
      </c>
      <c r="N435" s="394">
        <f t="shared" si="116"/>
        <v>0.35886160330294148</v>
      </c>
      <c r="O435" s="395" t="str">
        <f t="shared" si="117"/>
        <v>No</v>
      </c>
      <c r="P435" s="396">
        <f t="shared" si="120"/>
        <v>0</v>
      </c>
      <c r="Q435" s="394">
        <f>SUM($P$4:P435)/COUNT($P$4:P435)</f>
        <v>0.53472222222222221</v>
      </c>
      <c r="W435" s="396">
        <f t="shared" si="121"/>
        <v>0</v>
      </c>
      <c r="X435" s="394" t="e">
        <f>SUM($W$4:W435)/COUNT($W$4:W435)</f>
        <v>#DIV/0!</v>
      </c>
    </row>
    <row r="436" spans="1:24" x14ac:dyDescent="0.15">
      <c r="A436" s="384">
        <f t="shared" si="118"/>
        <v>434</v>
      </c>
      <c r="B436" s="401">
        <f t="shared" si="123"/>
        <v>40864</v>
      </c>
      <c r="D436" s="390">
        <v>36896.26</v>
      </c>
      <c r="E436" s="387">
        <v>36896.26</v>
      </c>
      <c r="F436" s="387">
        <f t="shared" si="131"/>
        <v>-353.18000000000029</v>
      </c>
      <c r="G436" s="388">
        <f t="shared" si="132"/>
        <v>-9.4814848223221393E-3</v>
      </c>
      <c r="H436" s="387">
        <f t="shared" si="129"/>
        <v>14040.410000000003</v>
      </c>
      <c r="I436" s="388">
        <f t="shared" si="130"/>
        <v>0.61430268399556365</v>
      </c>
      <c r="L436" s="369">
        <v>1215.6500000000001</v>
      </c>
      <c r="M436" s="394">
        <f t="shared" si="128"/>
        <v>-3.8137437195869595E-2</v>
      </c>
      <c r="N436" s="394">
        <f t="shared" si="116"/>
        <v>0.30703810424909683</v>
      </c>
      <c r="O436" s="395" t="str">
        <f t="shared" si="117"/>
        <v>Yes</v>
      </c>
      <c r="P436" s="396">
        <f t="shared" si="120"/>
        <v>1</v>
      </c>
      <c r="Q436" s="394">
        <f>SUM($P$4:P436)/COUNT($P$4:P436)</f>
        <v>0.53579676674364896</v>
      </c>
      <c r="W436" s="396">
        <f t="shared" si="121"/>
        <v>0</v>
      </c>
      <c r="X436" s="394" t="e">
        <f>SUM($W$4:W436)/COUNT($W$4:W436)</f>
        <v>#DIV/0!</v>
      </c>
    </row>
    <row r="437" spans="1:24" x14ac:dyDescent="0.15">
      <c r="A437" s="384">
        <f t="shared" si="118"/>
        <v>435</v>
      </c>
      <c r="B437" s="401">
        <f t="shared" si="123"/>
        <v>40871</v>
      </c>
      <c r="D437" s="390">
        <v>35412.25</v>
      </c>
      <c r="E437" s="387">
        <v>35412.25</v>
      </c>
      <c r="F437" s="387">
        <f t="shared" si="131"/>
        <v>-1484.010000000002</v>
      </c>
      <c r="G437" s="388">
        <f t="shared" si="132"/>
        <v>-4.022114978591329E-2</v>
      </c>
      <c r="H437" s="387">
        <f t="shared" si="129"/>
        <v>12556.400000000001</v>
      </c>
      <c r="I437" s="388">
        <f t="shared" si="130"/>
        <v>0.54937357394277631</v>
      </c>
      <c r="L437" s="369">
        <v>1158.67</v>
      </c>
      <c r="M437" s="394">
        <f t="shared" si="128"/>
        <v>-4.6872043762596127E-2</v>
      </c>
      <c r="N437" s="394">
        <f t="shared" si="116"/>
        <v>0.2457745570273524</v>
      </c>
      <c r="O437" s="395" t="str">
        <f t="shared" si="117"/>
        <v>Yes</v>
      </c>
      <c r="P437" s="396">
        <f t="shared" si="120"/>
        <v>1</v>
      </c>
      <c r="Q437" s="394">
        <f>SUM($P$4:P437)/COUNT($P$4:P437)</f>
        <v>0.53686635944700456</v>
      </c>
      <c r="W437" s="396">
        <f t="shared" si="121"/>
        <v>0</v>
      </c>
      <c r="X437" s="394" t="e">
        <f>SUM($W$4:W437)/COUNT($W$4:W437)</f>
        <v>#DIV/0!</v>
      </c>
    </row>
    <row r="438" spans="1:24" x14ac:dyDescent="0.15">
      <c r="A438" s="384">
        <f t="shared" si="118"/>
        <v>436</v>
      </c>
      <c r="B438" s="401">
        <f t="shared" si="123"/>
        <v>40878</v>
      </c>
      <c r="D438" s="390">
        <v>37759.21</v>
      </c>
      <c r="E438" s="387">
        <v>37759.21</v>
      </c>
      <c r="F438" s="387">
        <f t="shared" si="131"/>
        <v>2346.9599999999991</v>
      </c>
      <c r="G438" s="388">
        <f t="shared" si="132"/>
        <v>6.6275370810948253E-2</v>
      </c>
      <c r="H438" s="387">
        <f t="shared" si="129"/>
        <v>14903.36</v>
      </c>
      <c r="I438" s="388">
        <f t="shared" si="130"/>
        <v>0.65205888208051777</v>
      </c>
      <c r="L438" s="369">
        <v>1244.28</v>
      </c>
      <c r="M438" s="394">
        <f t="shared" si="128"/>
        <v>7.3886438761683548E-2</v>
      </c>
      <c r="N438" s="394">
        <f t="shared" si="116"/>
        <v>0.33782040254601742</v>
      </c>
      <c r="O438" s="395" t="str">
        <f t="shared" si="117"/>
        <v>No</v>
      </c>
      <c r="P438" s="396">
        <f t="shared" si="120"/>
        <v>0</v>
      </c>
      <c r="Q438" s="394">
        <f>SUM($P$4:P438)/COUNT($P$4:P438)</f>
        <v>0.53563218390804601</v>
      </c>
      <c r="W438" s="396">
        <f t="shared" si="121"/>
        <v>0</v>
      </c>
      <c r="X438" s="394" t="e">
        <f>SUM($W$4:W438)/COUNT($W$4:W438)</f>
        <v>#DIV/0!</v>
      </c>
    </row>
    <row r="439" spans="1:24" x14ac:dyDescent="0.15">
      <c r="A439" s="384">
        <f t="shared" si="118"/>
        <v>437</v>
      </c>
      <c r="B439" s="401">
        <f t="shared" si="123"/>
        <v>40885</v>
      </c>
      <c r="D439" s="390">
        <v>37485.46</v>
      </c>
      <c r="E439" s="387">
        <v>37485.46</v>
      </c>
      <c r="F439" s="387">
        <f t="shared" si="131"/>
        <v>-273.75</v>
      </c>
      <c r="G439" s="388">
        <f t="shared" si="132"/>
        <v>-7.249886848797904E-3</v>
      </c>
      <c r="H439" s="387">
        <f t="shared" si="129"/>
        <v>14629.61</v>
      </c>
      <c r="I439" s="388">
        <f t="shared" si="130"/>
        <v>0.64008164211788232</v>
      </c>
      <c r="L439" s="369">
        <v>1255.19</v>
      </c>
      <c r="M439" s="394">
        <f t="shared" si="128"/>
        <v>8.7681229305300867E-3</v>
      </c>
      <c r="N439" s="394">
        <f t="shared" si="116"/>
        <v>0.34955057629451236</v>
      </c>
      <c r="O439" s="395" t="str">
        <f t="shared" si="117"/>
        <v>No</v>
      </c>
      <c r="P439" s="396">
        <f t="shared" si="120"/>
        <v>0</v>
      </c>
      <c r="Q439" s="394">
        <f>SUM($P$4:P439)/COUNT($P$4:P439)</f>
        <v>0.5344036697247706</v>
      </c>
      <c r="W439" s="396">
        <f t="shared" si="121"/>
        <v>0</v>
      </c>
      <c r="X439" s="394" t="e">
        <f>SUM($W$4:W439)/COUNT($W$4:W439)</f>
        <v>#DIV/0!</v>
      </c>
    </row>
    <row r="440" spans="1:24" x14ac:dyDescent="0.15">
      <c r="A440" s="384">
        <f t="shared" si="118"/>
        <v>438</v>
      </c>
      <c r="B440" s="401">
        <f t="shared" si="123"/>
        <v>40892</v>
      </c>
      <c r="D440" s="390">
        <v>36860.699999999997</v>
      </c>
      <c r="E440" s="387">
        <v>36860.699999999997</v>
      </c>
      <c r="F440" s="387">
        <f t="shared" si="131"/>
        <v>-624.76000000000204</v>
      </c>
      <c r="G440" s="388">
        <f t="shared" si="132"/>
        <v>-1.6666728913023898E-2</v>
      </c>
      <c r="H440" s="387">
        <f t="shared" si="129"/>
        <v>14004.849999999999</v>
      </c>
      <c r="I440" s="388">
        <f t="shared" si="130"/>
        <v>0.6127468459934764</v>
      </c>
      <c r="L440" s="369">
        <v>1219.6600000000001</v>
      </c>
      <c r="M440" s="394">
        <f t="shared" si="128"/>
        <v>-2.8306471530206601E-2</v>
      </c>
      <c r="N440" s="394">
        <f t="shared" si="116"/>
        <v>0.31134956132805791</v>
      </c>
      <c r="O440" s="395" t="str">
        <f t="shared" si="117"/>
        <v>Yes</v>
      </c>
      <c r="P440" s="396">
        <f t="shared" si="120"/>
        <v>1</v>
      </c>
      <c r="Q440" s="394">
        <f>SUM($P$4:P440)/COUNT($P$4:P440)</f>
        <v>0.53546910755148747</v>
      </c>
      <c r="W440" s="396">
        <f t="shared" si="121"/>
        <v>0</v>
      </c>
      <c r="X440" s="394" t="e">
        <f>SUM($W$4:W440)/COUNT($W$4:W440)</f>
        <v>#DIV/0!</v>
      </c>
    </row>
    <row r="441" spans="1:24" x14ac:dyDescent="0.15">
      <c r="A441" s="384">
        <f t="shared" si="118"/>
        <v>439</v>
      </c>
      <c r="B441" s="401">
        <f t="shared" si="123"/>
        <v>40899</v>
      </c>
      <c r="D441" s="390">
        <v>38081.199999999997</v>
      </c>
      <c r="E441" s="387">
        <v>38081.199999999997</v>
      </c>
      <c r="F441" s="387">
        <f t="shared" si="131"/>
        <v>1220.5</v>
      </c>
      <c r="G441" s="388">
        <f t="shared" si="132"/>
        <v>3.3111145474719716E-2</v>
      </c>
      <c r="H441" s="387">
        <f t="shared" si="129"/>
        <v>15225.349999999999</v>
      </c>
      <c r="I441" s="388">
        <f t="shared" si="130"/>
        <v>0.66614674142506192</v>
      </c>
      <c r="L441" s="369">
        <v>1265.33</v>
      </c>
      <c r="M441" s="394">
        <f t="shared" si="128"/>
        <v>3.7444861682763841E-2</v>
      </c>
      <c r="N441" s="394">
        <f t="shared" si="116"/>
        <v>0.36045286426973999</v>
      </c>
      <c r="O441" s="395" t="str">
        <f t="shared" si="117"/>
        <v>No</v>
      </c>
      <c r="P441" s="396">
        <f t="shared" si="120"/>
        <v>0</v>
      </c>
      <c r="Q441" s="394">
        <f>SUM($P$4:P441)/COUNT($P$4:P441)</f>
        <v>0.53424657534246578</v>
      </c>
      <c r="W441" s="396">
        <f t="shared" si="121"/>
        <v>0</v>
      </c>
      <c r="X441" s="394" t="e">
        <f>SUM($W$4:W441)/COUNT($W$4:W441)</f>
        <v>#DIV/0!</v>
      </c>
    </row>
    <row r="442" spans="1:24" x14ac:dyDescent="0.15">
      <c r="A442" s="384">
        <f t="shared" si="118"/>
        <v>440</v>
      </c>
      <c r="B442" s="401">
        <f t="shared" si="123"/>
        <v>40906</v>
      </c>
      <c r="D442" s="390">
        <v>38298.57</v>
      </c>
      <c r="E442" s="387">
        <v>38298.57</v>
      </c>
      <c r="F442" s="387">
        <f t="shared" si="131"/>
        <v>217.37000000000262</v>
      </c>
      <c r="G442" s="388">
        <f t="shared" si="132"/>
        <v>5.708065922292338E-3</v>
      </c>
      <c r="H442" s="387">
        <f t="shared" si="129"/>
        <v>15442.720000000001</v>
      </c>
      <c r="I442" s="388">
        <f t="shared" si="130"/>
        <v>0.67565721686132885</v>
      </c>
      <c r="L442" s="369">
        <v>1257.5999999999999</v>
      </c>
      <c r="M442" s="394">
        <f t="shared" si="128"/>
        <v>-6.1090782641682884E-3</v>
      </c>
      <c r="N442" s="394">
        <f t="shared" si="116"/>
        <v>0.35214175124720448</v>
      </c>
      <c r="O442" s="395" t="str">
        <f t="shared" si="117"/>
        <v>Yes</v>
      </c>
      <c r="P442" s="396">
        <f t="shared" si="120"/>
        <v>1</v>
      </c>
      <c r="Q442" s="394">
        <f>SUM($P$4:P442)/COUNT($P$4:P442)</f>
        <v>0.53530751708428248</v>
      </c>
      <c r="W442" s="396">
        <f t="shared" si="121"/>
        <v>0</v>
      </c>
      <c r="X442" s="394" t="e">
        <f>SUM($W$4:W442)/COUNT($W$4:W442)</f>
        <v>#DIV/0!</v>
      </c>
    </row>
    <row r="443" spans="1:24" x14ac:dyDescent="0.15">
      <c r="A443" s="384">
        <f t="shared" si="118"/>
        <v>441</v>
      </c>
      <c r="B443" s="401">
        <f t="shared" si="123"/>
        <v>40913</v>
      </c>
      <c r="D443" s="390">
        <v>38913.339999999997</v>
      </c>
      <c r="E443" s="387">
        <v>38913.339999999997</v>
      </c>
      <c r="F443" s="387">
        <f t="shared" si="131"/>
        <v>614.7699999999968</v>
      </c>
      <c r="G443" s="388">
        <f t="shared" si="132"/>
        <v>1.6052035363200101E-2</v>
      </c>
      <c r="H443" s="387">
        <f t="shared" si="129"/>
        <v>16057.489999999998</v>
      </c>
      <c r="I443" s="388">
        <f t="shared" si="130"/>
        <v>0.70255492576298839</v>
      </c>
      <c r="L443" s="369">
        <v>1277.81</v>
      </c>
      <c r="M443" s="394">
        <f t="shared" si="128"/>
        <v>1.6070292620865123E-2</v>
      </c>
      <c r="N443" s="394">
        <f t="shared" si="116"/>
        <v>0.37387106485463595</v>
      </c>
      <c r="O443" s="395" t="str">
        <f t="shared" si="117"/>
        <v>No</v>
      </c>
      <c r="P443" s="396">
        <f t="shared" si="120"/>
        <v>0</v>
      </c>
      <c r="Q443" s="394">
        <f>SUM($P$4:P443)/COUNT($P$4:P443)</f>
        <v>0.53409090909090906</v>
      </c>
      <c r="W443" s="396">
        <f t="shared" si="121"/>
        <v>0</v>
      </c>
      <c r="X443" s="394" t="e">
        <f>SUM($W$4:W443)/COUNT($W$4:W443)</f>
        <v>#DIV/0!</v>
      </c>
    </row>
    <row r="444" spans="1:24" x14ac:dyDescent="0.15">
      <c r="A444" s="384">
        <f t="shared" si="118"/>
        <v>442</v>
      </c>
      <c r="B444" s="401">
        <f t="shared" si="123"/>
        <v>40920</v>
      </c>
      <c r="D444" s="390">
        <v>39312.980000000003</v>
      </c>
      <c r="E444" s="387">
        <v>39312.980000000003</v>
      </c>
      <c r="F444" s="387">
        <f t="shared" si="131"/>
        <v>399.64000000000669</v>
      </c>
      <c r="G444" s="388">
        <f t="shared" si="132"/>
        <v>1.0269999953743447E-2</v>
      </c>
      <c r="H444" s="387">
        <f t="shared" si="129"/>
        <v>16457.130000000005</v>
      </c>
      <c r="I444" s="388">
        <f t="shared" si="130"/>
        <v>0.7200401647718202</v>
      </c>
      <c r="L444" s="369">
        <v>1295.5</v>
      </c>
      <c r="M444" s="394">
        <f t="shared" si="128"/>
        <v>1.3843998716554173E-2</v>
      </c>
      <c r="N444" s="394">
        <f t="shared" si="116"/>
        <v>0.39289093411319453</v>
      </c>
      <c r="O444" s="395" t="str">
        <f t="shared" si="117"/>
        <v>No</v>
      </c>
      <c r="P444" s="396">
        <f t="shared" si="120"/>
        <v>0</v>
      </c>
      <c r="Q444" s="394">
        <f>SUM($P$4:P444)/COUNT($P$4:P444)</f>
        <v>0.53287981859410427</v>
      </c>
      <c r="W444" s="396">
        <f t="shared" si="121"/>
        <v>0</v>
      </c>
      <c r="X444" s="394" t="e">
        <f>SUM($W$4:W444)/COUNT($W$4:W444)</f>
        <v>#DIV/0!</v>
      </c>
    </row>
    <row r="445" spans="1:24" x14ac:dyDescent="0.15">
      <c r="A445" s="384">
        <f t="shared" si="118"/>
        <v>443</v>
      </c>
      <c r="B445" s="401">
        <f t="shared" si="123"/>
        <v>40927</v>
      </c>
      <c r="D445" s="390">
        <v>39890.879999999997</v>
      </c>
      <c r="E445" s="387">
        <v>39890.879999999997</v>
      </c>
      <c r="F445" s="387">
        <f t="shared" si="131"/>
        <v>577.89999999999418</v>
      </c>
      <c r="G445" s="388">
        <f t="shared" si="132"/>
        <v>1.4699979497865501E-2</v>
      </c>
      <c r="H445" s="387">
        <f t="shared" si="129"/>
        <v>17035.03</v>
      </c>
      <c r="I445" s="388">
        <f t="shared" si="130"/>
        <v>0.74532471992947102</v>
      </c>
      <c r="L445" s="369">
        <v>1314.5</v>
      </c>
      <c r="M445" s="394">
        <f t="shared" si="128"/>
        <v>1.4666152064839899E-2</v>
      </c>
      <c r="N445" s="394">
        <f t="shared" si="116"/>
        <v>0.41331928436263543</v>
      </c>
      <c r="O445" s="395" t="str">
        <f t="shared" si="117"/>
        <v>Yes</v>
      </c>
      <c r="P445" s="396">
        <f t="shared" si="120"/>
        <v>1</v>
      </c>
      <c r="Q445" s="394">
        <f>SUM($P$4:P445)/COUNT($P$4:P445)</f>
        <v>0.5339366515837104</v>
      </c>
      <c r="W445" s="396">
        <f t="shared" si="121"/>
        <v>0</v>
      </c>
      <c r="X445" s="394" t="e">
        <f>SUM($W$4:W445)/COUNT($W$4:W445)</f>
        <v>#DIV/0!</v>
      </c>
    </row>
    <row r="446" spans="1:24" x14ac:dyDescent="0.15">
      <c r="A446" s="384">
        <f t="shared" si="118"/>
        <v>444</v>
      </c>
      <c r="B446" s="401">
        <f t="shared" si="123"/>
        <v>40934</v>
      </c>
      <c r="D446" s="390">
        <v>40010.550000000003</v>
      </c>
      <c r="E446" s="387">
        <v>40010.550000000003</v>
      </c>
      <c r="F446" s="387">
        <f t="shared" si="131"/>
        <v>119.67000000000553</v>
      </c>
      <c r="G446" s="388">
        <f t="shared" si="132"/>
        <v>2.9999338194597325E-3</v>
      </c>
      <c r="H446" s="387">
        <f t="shared" si="129"/>
        <v>17154.700000000004</v>
      </c>
      <c r="I446" s="388">
        <f t="shared" si="130"/>
        <v>0.75056057858272629</v>
      </c>
      <c r="L446" s="369">
        <v>1318.43</v>
      </c>
      <c r="M446" s="394">
        <f t="shared" si="128"/>
        <v>2.989729935336749E-3</v>
      </c>
      <c r="N446" s="394">
        <f t="shared" si="116"/>
        <v>0.41754472733528303</v>
      </c>
      <c r="O446" s="395" t="str">
        <f t="shared" si="117"/>
        <v>Yes</v>
      </c>
      <c r="P446" s="396">
        <f t="shared" si="120"/>
        <v>1</v>
      </c>
      <c r="Q446" s="394">
        <f>SUM($P$4:P446)/COUNT($P$4:P446)</f>
        <v>0.53498871331828446</v>
      </c>
      <c r="W446" s="396">
        <f t="shared" si="121"/>
        <v>0</v>
      </c>
      <c r="X446" s="394" t="e">
        <f>SUM($W$4:W446)/COUNT($W$4:W446)</f>
        <v>#DIV/0!</v>
      </c>
    </row>
    <row r="447" spans="1:24" x14ac:dyDescent="0.15">
      <c r="A447" s="384">
        <f t="shared" si="118"/>
        <v>445</v>
      </c>
      <c r="B447" s="401">
        <f t="shared" si="123"/>
        <v>40941</v>
      </c>
      <c r="D447" s="390">
        <v>40226.61</v>
      </c>
      <c r="E447" s="387">
        <v>40226.61</v>
      </c>
      <c r="F447" s="387">
        <f t="shared" si="131"/>
        <v>216.05999999999767</v>
      </c>
      <c r="G447" s="388">
        <f t="shared" si="132"/>
        <v>5.4000757300260993E-3</v>
      </c>
      <c r="H447" s="387">
        <f t="shared" si="129"/>
        <v>17370.760000000002</v>
      </c>
      <c r="I447" s="388">
        <f t="shared" si="130"/>
        <v>0.76001373827707153</v>
      </c>
      <c r="L447" s="369">
        <v>1325.54</v>
      </c>
      <c r="M447" s="394">
        <f t="shared" si="128"/>
        <v>5.3927777735638394E-3</v>
      </c>
      <c r="N447" s="394">
        <f t="shared" si="116"/>
        <v>0.42518923103388939</v>
      </c>
      <c r="O447" s="395" t="str">
        <f t="shared" si="117"/>
        <v>Yes</v>
      </c>
      <c r="P447" s="396">
        <f t="shared" si="120"/>
        <v>1</v>
      </c>
      <c r="Q447" s="394">
        <f>SUM($P$4:P447)/COUNT($P$4:P447)</f>
        <v>0.536036036036036</v>
      </c>
      <c r="W447" s="396">
        <f t="shared" si="121"/>
        <v>0</v>
      </c>
      <c r="X447" s="394" t="e">
        <f>SUM($W$4:W447)/COUNT($W$4:W447)</f>
        <v>#DIV/0!</v>
      </c>
    </row>
    <row r="448" spans="1:24" x14ac:dyDescent="0.15">
      <c r="A448" s="384">
        <f t="shared" si="118"/>
        <v>446</v>
      </c>
      <c r="B448" s="401">
        <f t="shared" si="123"/>
        <v>40948</v>
      </c>
      <c r="D448" s="390">
        <v>41027.120000000003</v>
      </c>
      <c r="E448" s="387">
        <v>41027.120000000003</v>
      </c>
      <c r="F448" s="387">
        <f t="shared" si="131"/>
        <v>800.51000000000204</v>
      </c>
      <c r="G448" s="388">
        <f t="shared" si="132"/>
        <v>1.9900011460075806E-2</v>
      </c>
      <c r="H448" s="387">
        <f t="shared" si="129"/>
        <v>18171.270000000004</v>
      </c>
      <c r="I448" s="388">
        <f t="shared" si="130"/>
        <v>0.79503803183867605</v>
      </c>
      <c r="L448" s="369">
        <v>1351.95</v>
      </c>
      <c r="M448" s="394">
        <f t="shared" si="128"/>
        <v>1.992395552001458E-2</v>
      </c>
      <c r="N448" s="394">
        <f t="shared" si="116"/>
        <v>0.45358463788061232</v>
      </c>
      <c r="O448" s="395" t="str">
        <f t="shared" si="117"/>
        <v>No</v>
      </c>
      <c r="P448" s="396">
        <f t="shared" si="120"/>
        <v>0</v>
      </c>
      <c r="Q448" s="394">
        <f>SUM($P$4:P448)/COUNT($P$4:P448)</f>
        <v>0.53483146067415732</v>
      </c>
      <c r="W448" s="396">
        <f t="shared" si="121"/>
        <v>0</v>
      </c>
      <c r="X448" s="394" t="e">
        <f>SUM($W$4:W448)/COUNT($W$4:W448)</f>
        <v>#DIV/0!</v>
      </c>
    </row>
    <row r="449" spans="1:24" x14ac:dyDescent="0.15">
      <c r="A449" s="384">
        <f t="shared" si="118"/>
        <v>447</v>
      </c>
      <c r="B449" s="401">
        <f t="shared" si="123"/>
        <v>40955</v>
      </c>
      <c r="D449" s="390">
        <v>40837.594140000001</v>
      </c>
      <c r="E449" s="387">
        <v>40837.594140000001</v>
      </c>
      <c r="F449" s="387">
        <f t="shared" si="131"/>
        <v>-189.52586000000156</v>
      </c>
      <c r="G449" s="388">
        <f t="shared" si="132"/>
        <v>-4.6195263035767598E-3</v>
      </c>
      <c r="H449" s="387">
        <f t="shared" si="129"/>
        <v>17981.744140000003</v>
      </c>
      <c r="I449" s="388">
        <f t="shared" si="130"/>
        <v>0.78674580643467662</v>
      </c>
      <c r="L449" s="369">
        <v>1358.04</v>
      </c>
      <c r="M449" s="394">
        <f t="shared" si="128"/>
        <v>4.5046044602241597E-3</v>
      </c>
      <c r="N449" s="394">
        <f t="shared" si="116"/>
        <v>0.46013246172372257</v>
      </c>
      <c r="O449" s="395" t="str">
        <f t="shared" si="117"/>
        <v>No</v>
      </c>
      <c r="P449" s="396">
        <f t="shared" si="120"/>
        <v>0</v>
      </c>
      <c r="Q449" s="394">
        <f>SUM($P$4:P449)/COUNT($P$4:P449)</f>
        <v>0.53363228699551568</v>
      </c>
      <c r="W449" s="396">
        <f t="shared" si="121"/>
        <v>0</v>
      </c>
      <c r="X449" s="394" t="e">
        <f>SUM($W$4:W449)/COUNT($W$4:W449)</f>
        <v>#DIV/0!</v>
      </c>
    </row>
    <row r="450" spans="1:24" x14ac:dyDescent="0.15">
      <c r="A450" s="384">
        <f t="shared" si="118"/>
        <v>448</v>
      </c>
      <c r="B450" s="401">
        <f t="shared" si="123"/>
        <v>40962</v>
      </c>
      <c r="D450" s="390">
        <v>40851.889970000004</v>
      </c>
      <c r="E450" s="387">
        <v>40851.889970000004</v>
      </c>
      <c r="F450" s="387">
        <f t="shared" si="131"/>
        <v>14.295830000002752</v>
      </c>
      <c r="G450" s="388">
        <f t="shared" si="132"/>
        <v>3.5006543115634337E-4</v>
      </c>
      <c r="H450" s="387">
        <f t="shared" si="129"/>
        <v>17996.039970000005</v>
      </c>
      <c r="I450" s="388">
        <f t="shared" si="130"/>
        <v>0.78737128437577275</v>
      </c>
      <c r="L450" s="369">
        <v>1363.46</v>
      </c>
      <c r="M450" s="394">
        <f t="shared" si="128"/>
        <v>3.9910459191188075E-3</v>
      </c>
      <c r="N450" s="394">
        <f t="shared" si="116"/>
        <v>0.46595991742645793</v>
      </c>
      <c r="O450" s="395" t="str">
        <f t="shared" si="117"/>
        <v>No</v>
      </c>
      <c r="P450" s="396">
        <f t="shared" si="120"/>
        <v>0</v>
      </c>
      <c r="Q450" s="394">
        <f>SUM($P$4:P450)/COUNT($P$4:P450)</f>
        <v>0.53243847874720363</v>
      </c>
      <c r="W450" s="396">
        <f t="shared" si="121"/>
        <v>0</v>
      </c>
      <c r="X450" s="394" t="e">
        <f>SUM($W$4:W450)/COUNT($W$4:W450)</f>
        <v>#DIV/0!</v>
      </c>
    </row>
    <row r="451" spans="1:24" x14ac:dyDescent="0.15">
      <c r="A451" s="384">
        <f t="shared" si="118"/>
        <v>449</v>
      </c>
      <c r="B451" s="401">
        <f t="shared" si="123"/>
        <v>40969</v>
      </c>
      <c r="D451" s="390">
        <v>40773.422509999997</v>
      </c>
      <c r="E451" s="387">
        <v>40773.422509999997</v>
      </c>
      <c r="F451" s="387">
        <f t="shared" si="131"/>
        <v>-78.467460000007122</v>
      </c>
      <c r="G451" s="388">
        <f t="shared" si="132"/>
        <v>-1.9207791869024771E-3</v>
      </c>
      <c r="H451" s="387">
        <f t="shared" si="129"/>
        <v>17917.572509999998</v>
      </c>
      <c r="I451" s="388">
        <f t="shared" si="130"/>
        <v>0.78393813881347651</v>
      </c>
      <c r="L451" s="369">
        <v>1370.98</v>
      </c>
      <c r="M451" s="394">
        <f t="shared" si="128"/>
        <v>5.5153799891451971E-3</v>
      </c>
      <c r="N451" s="394">
        <f t="shared" si="116"/>
        <v>0.47404524341992071</v>
      </c>
      <c r="O451" s="395" t="str">
        <f t="shared" si="117"/>
        <v>No</v>
      </c>
      <c r="P451" s="396">
        <f t="shared" si="120"/>
        <v>0</v>
      </c>
      <c r="Q451" s="394">
        <f>SUM($P$4:P451)/COUNT($P$4:P451)</f>
        <v>0.53125</v>
      </c>
      <c r="W451" s="396">
        <f t="shared" si="121"/>
        <v>0</v>
      </c>
      <c r="X451" s="394" t="e">
        <f>SUM($W$4:W451)/COUNT($W$4:W451)</f>
        <v>#DIV/0!</v>
      </c>
    </row>
    <row r="452" spans="1:24" x14ac:dyDescent="0.15">
      <c r="A452" s="384">
        <f t="shared" si="118"/>
        <v>450</v>
      </c>
      <c r="B452" s="401">
        <f t="shared" si="123"/>
        <v>40976</v>
      </c>
      <c r="D452" s="390">
        <v>40773.422509999997</v>
      </c>
      <c r="E452" s="387">
        <v>40773.422509999997</v>
      </c>
      <c r="F452" s="387">
        <f t="shared" si="131"/>
        <v>0</v>
      </c>
      <c r="G452" s="388">
        <f t="shared" si="132"/>
        <v>0</v>
      </c>
      <c r="H452" s="387">
        <f t="shared" si="129"/>
        <v>17917.572509999998</v>
      </c>
      <c r="I452" s="388">
        <f t="shared" si="130"/>
        <v>0.78393813881347651</v>
      </c>
      <c r="L452" s="369">
        <v>1371.98</v>
      </c>
      <c r="M452" s="394">
        <f t="shared" ref="M452:M458" si="133">(L452/L451)-1</f>
        <v>7.2940524296494225E-4</v>
      </c>
      <c r="N452" s="394">
        <f t="shared" ref="N452:N491" si="134">(L452/$L$3)-1</f>
        <v>0.47512041974883878</v>
      </c>
      <c r="O452" s="395" t="str">
        <f t="shared" ref="O452:O515" si="135">IF(G452&gt;M452,"Yes","No")</f>
        <v>No</v>
      </c>
      <c r="P452" s="396">
        <f t="shared" si="120"/>
        <v>0</v>
      </c>
      <c r="Q452" s="394">
        <f>SUM($P$4:P452)/COUNT($P$4:P452)</f>
        <v>0.53006681514476617</v>
      </c>
      <c r="W452" s="396">
        <f t="shared" si="121"/>
        <v>0</v>
      </c>
      <c r="X452" s="394" t="e">
        <f>SUM($W$4:W452)/COUNT($W$4:W452)</f>
        <v>#DIV/0!</v>
      </c>
    </row>
    <row r="453" spans="1:24" x14ac:dyDescent="0.15">
      <c r="A453" s="384">
        <f t="shared" ref="A453:A516" si="136">A452+1</f>
        <v>451</v>
      </c>
      <c r="B453" s="401">
        <f t="shared" si="123"/>
        <v>40983</v>
      </c>
      <c r="D453" s="390">
        <v>41393.199820000009</v>
      </c>
      <c r="E453" s="387">
        <v>41393.199820000009</v>
      </c>
      <c r="F453" s="387">
        <f t="shared" si="131"/>
        <v>619.77731000001222</v>
      </c>
      <c r="G453" s="388">
        <f t="shared" si="132"/>
        <v>1.5200522101082026E-2</v>
      </c>
      <c r="H453" s="387">
        <f t="shared" si="129"/>
        <v>18537.34982000001</v>
      </c>
      <c r="I453" s="388">
        <f t="shared" si="130"/>
        <v>0.81105492991947403</v>
      </c>
      <c r="L453" s="369">
        <v>1403.58</v>
      </c>
      <c r="M453" s="394">
        <f t="shared" si="133"/>
        <v>2.3032405720200044E-2</v>
      </c>
      <c r="N453" s="394">
        <f t="shared" si="134"/>
        <v>0.50909599174264564</v>
      </c>
      <c r="O453" s="395" t="str">
        <f t="shared" si="135"/>
        <v>No</v>
      </c>
      <c r="P453" s="396">
        <f t="shared" si="120"/>
        <v>0</v>
      </c>
      <c r="Q453" s="394">
        <f>SUM($P$4:P453)/COUNT($P$4:P453)</f>
        <v>0.52888888888888885</v>
      </c>
      <c r="W453" s="396">
        <f t="shared" si="121"/>
        <v>0</v>
      </c>
      <c r="X453" s="394" t="e">
        <f>SUM($W$4:W453)/COUNT($W$4:W453)</f>
        <v>#DIV/0!</v>
      </c>
    </row>
    <row r="454" spans="1:24" x14ac:dyDescent="0.15">
      <c r="A454" s="384">
        <f t="shared" si="136"/>
        <v>452</v>
      </c>
      <c r="B454" s="401">
        <f t="shared" si="123"/>
        <v>40990</v>
      </c>
      <c r="D454" s="390">
        <v>41119.368170000002</v>
      </c>
      <c r="E454" s="387">
        <v>41119.368170000002</v>
      </c>
      <c r="F454" s="387">
        <f t="shared" si="131"/>
        <v>-273.83165000000736</v>
      </c>
      <c r="G454" s="388">
        <f t="shared" si="132"/>
        <v>-6.615377675337375E-3</v>
      </c>
      <c r="H454" s="387">
        <f t="shared" si="129"/>
        <v>18263.518170000003</v>
      </c>
      <c r="I454" s="388">
        <f t="shared" si="130"/>
        <v>0.79907411756727509</v>
      </c>
      <c r="L454" s="369">
        <v>1392.79</v>
      </c>
      <c r="M454" s="394">
        <f t="shared" si="133"/>
        <v>-7.6874848601433676E-3</v>
      </c>
      <c r="N454" s="394">
        <f t="shared" si="134"/>
        <v>0.49749483915362114</v>
      </c>
      <c r="O454" s="395" t="str">
        <f t="shared" si="135"/>
        <v>Yes</v>
      </c>
      <c r="P454" s="396">
        <f t="shared" ref="P454:P487" si="137">IF(O454="Yes",1,0)</f>
        <v>1</v>
      </c>
      <c r="Q454" s="394">
        <f>SUM($P$4:P454)/COUNT($P$4:P454)</f>
        <v>0.52993348115299332</v>
      </c>
      <c r="W454" s="396">
        <f t="shared" ref="W454:W488" si="138">IF(V454="Yes",1,0)</f>
        <v>0</v>
      </c>
      <c r="X454" s="394" t="e">
        <f>SUM($W$4:W454)/COUNT($W$4:W454)</f>
        <v>#DIV/0!</v>
      </c>
    </row>
    <row r="455" spans="1:24" x14ac:dyDescent="0.15">
      <c r="A455" s="384">
        <f t="shared" si="136"/>
        <v>453</v>
      </c>
      <c r="B455" s="401">
        <f t="shared" si="123"/>
        <v>40997</v>
      </c>
      <c r="D455" s="390">
        <v>41164.53471</v>
      </c>
      <c r="E455" s="387">
        <v>41164.53471</v>
      </c>
      <c r="F455" s="387">
        <f t="shared" si="131"/>
        <v>45.166539999998349</v>
      </c>
      <c r="G455" s="388">
        <f t="shared" si="132"/>
        <v>1.0984249517955735E-3</v>
      </c>
      <c r="H455" s="387">
        <f t="shared" si="129"/>
        <v>18308.684710000001</v>
      </c>
      <c r="I455" s="388">
        <f t="shared" si="130"/>
        <v>0.80105026546814062</v>
      </c>
      <c r="L455" s="369">
        <v>1394.94</v>
      </c>
      <c r="M455" s="394">
        <f t="shared" si="133"/>
        <v>1.5436641561183961E-3</v>
      </c>
      <c r="N455" s="394">
        <f t="shared" si="134"/>
        <v>0.49980646826079478</v>
      </c>
      <c r="O455" s="395" t="str">
        <f t="shared" si="135"/>
        <v>No</v>
      </c>
      <c r="P455" s="396">
        <f t="shared" si="137"/>
        <v>0</v>
      </c>
      <c r="Q455" s="394">
        <f>SUM($P$4:P455)/COUNT($P$4:P455)</f>
        <v>0.52876106194690264</v>
      </c>
      <c r="W455" s="396">
        <f t="shared" si="138"/>
        <v>0</v>
      </c>
      <c r="X455" s="394" t="e">
        <f>SUM($W$4:W455)/COUNT($W$4:W455)</f>
        <v>#DIV/0!</v>
      </c>
    </row>
    <row r="456" spans="1:24" x14ac:dyDescent="0.15">
      <c r="A456" s="384">
        <f t="shared" si="136"/>
        <v>454</v>
      </c>
      <c r="B456" s="401">
        <f t="shared" si="123"/>
        <v>41004</v>
      </c>
      <c r="D456" s="390">
        <v>41259.21</v>
      </c>
      <c r="E456" s="387">
        <v>41259.21</v>
      </c>
      <c r="F456" s="387">
        <f t="shared" si="131"/>
        <v>94.675289999999222</v>
      </c>
      <c r="G456" s="388">
        <f t="shared" si="132"/>
        <v>2.2999237248029214E-3</v>
      </c>
      <c r="H456" s="387">
        <f t="shared" si="129"/>
        <v>18403.36</v>
      </c>
      <c r="I456" s="388">
        <f t="shared" si="130"/>
        <v>0.80519254370325322</v>
      </c>
      <c r="L456" s="369">
        <v>1398.08</v>
      </c>
      <c r="M456" s="394">
        <f t="shared" si="133"/>
        <v>2.25099287424535E-3</v>
      </c>
      <c r="N456" s="394">
        <f t="shared" si="134"/>
        <v>0.50318252193359703</v>
      </c>
      <c r="O456" s="395" t="str">
        <f t="shared" si="135"/>
        <v>Yes</v>
      </c>
      <c r="P456" s="396">
        <f t="shared" si="137"/>
        <v>1</v>
      </c>
      <c r="Q456" s="394">
        <f>SUM($P$4:P456)/COUNT($P$4:P456)</f>
        <v>0.5298013245033113</v>
      </c>
      <c r="W456" s="396">
        <f t="shared" si="138"/>
        <v>0</v>
      </c>
      <c r="X456" s="394" t="e">
        <f>SUM($W$4:W456)/COUNT($W$4:W456)</f>
        <v>#DIV/0!</v>
      </c>
    </row>
    <row r="457" spans="1:24" x14ac:dyDescent="0.15">
      <c r="A457" s="384">
        <f t="shared" si="136"/>
        <v>455</v>
      </c>
      <c r="B457" s="401">
        <f t="shared" si="123"/>
        <v>41011</v>
      </c>
      <c r="D457" s="390">
        <v>41268.771470000007</v>
      </c>
      <c r="E457" s="387">
        <v>41268.771470000007</v>
      </c>
      <c r="F457" s="387">
        <f t="shared" si="131"/>
        <v>9.5614700000078301</v>
      </c>
      <c r="G457" s="388">
        <f t="shared" si="132"/>
        <v>2.3174147057125616E-4</v>
      </c>
      <c r="H457" s="387">
        <f t="shared" si="129"/>
        <v>18412.921470000008</v>
      </c>
      <c r="I457" s="388">
        <f t="shared" si="130"/>
        <v>0.80561088167799544</v>
      </c>
      <c r="L457" s="369">
        <v>1387.43</v>
      </c>
      <c r="M457" s="394">
        <f t="shared" si="133"/>
        <v>-7.6175898374912787E-3</v>
      </c>
      <c r="N457" s="394">
        <f t="shared" si="134"/>
        <v>0.49173189403062101</v>
      </c>
      <c r="O457" s="395" t="str">
        <f t="shared" si="135"/>
        <v>Yes</v>
      </c>
      <c r="P457" s="396">
        <f t="shared" si="137"/>
        <v>1</v>
      </c>
      <c r="Q457" s="394">
        <f>SUM($P$4:P457)/COUNT($P$4:P457)</f>
        <v>0.53083700440528636</v>
      </c>
      <c r="W457" s="396">
        <f t="shared" si="138"/>
        <v>0</v>
      </c>
      <c r="X457" s="394" t="e">
        <f>SUM($W$4:W457)/COUNT($W$4:W457)</f>
        <v>#DIV/0!</v>
      </c>
    </row>
    <row r="458" spans="1:24" x14ac:dyDescent="0.15">
      <c r="A458" s="384">
        <f t="shared" si="136"/>
        <v>456</v>
      </c>
      <c r="B458" s="401">
        <f t="shared" si="123"/>
        <v>41018</v>
      </c>
      <c r="D458" s="390">
        <v>40513.05404000001</v>
      </c>
      <c r="E458" s="387">
        <v>40513.05404000001</v>
      </c>
      <c r="F458" s="387">
        <f t="shared" si="131"/>
        <v>-755.71742999999697</v>
      </c>
      <c r="G458" s="388">
        <f t="shared" si="132"/>
        <v>-1.8312089337317872E-2</v>
      </c>
      <c r="H458" s="387">
        <f t="shared" si="129"/>
        <v>17657.204040000011</v>
      </c>
      <c r="I458" s="388">
        <f t="shared" si="130"/>
        <v>0.77254637390427461</v>
      </c>
      <c r="L458" s="369">
        <v>1376.92</v>
      </c>
      <c r="M458" s="394">
        <f t="shared" si="133"/>
        <v>-7.5751569448548883E-3</v>
      </c>
      <c r="N458" s="394">
        <f t="shared" si="134"/>
        <v>0.48043179081369347</v>
      </c>
      <c r="O458" s="395" t="str">
        <f t="shared" si="135"/>
        <v>No</v>
      </c>
      <c r="P458" s="396">
        <f t="shared" si="137"/>
        <v>0</v>
      </c>
      <c r="Q458" s="394">
        <f>SUM($P$4:P458)/COUNT($P$4:P458)</f>
        <v>0.52967032967032968</v>
      </c>
      <c r="W458" s="396">
        <f t="shared" si="138"/>
        <v>0</v>
      </c>
      <c r="X458" s="394" t="e">
        <f>SUM($W$4:W458)/COUNT($W$4:W458)</f>
        <v>#DIV/0!</v>
      </c>
    </row>
    <row r="459" spans="1:24" x14ac:dyDescent="0.15">
      <c r="A459" s="384">
        <f t="shared" si="136"/>
        <v>457</v>
      </c>
      <c r="B459" s="401">
        <f>B458+7</f>
        <v>41025</v>
      </c>
      <c r="D459" s="390">
        <v>40601.141130000004</v>
      </c>
      <c r="E459" s="387">
        <f>(D459)</f>
        <v>40601.141130000004</v>
      </c>
      <c r="F459" s="387">
        <f t="shared" si="131"/>
        <v>88.087089999993623</v>
      </c>
      <c r="G459" s="388">
        <f t="shared" si="132"/>
        <v>2.1742890553997363E-3</v>
      </c>
      <c r="H459" s="387">
        <f t="shared" si="129"/>
        <v>17745.291130000005</v>
      </c>
      <c r="I459" s="388">
        <f t="shared" si="130"/>
        <v>0.7764004020852433</v>
      </c>
      <c r="L459" s="369">
        <v>1399.98</v>
      </c>
      <c r="M459" s="394">
        <f t="shared" ref="M459:M464" si="139">(L459/L458)-1</f>
        <v>1.6747523458152891E-2</v>
      </c>
      <c r="N459" s="394">
        <f t="shared" si="134"/>
        <v>0.50522535695854121</v>
      </c>
      <c r="O459" s="395" t="str">
        <f t="shared" si="135"/>
        <v>No</v>
      </c>
      <c r="P459" s="396">
        <f t="shared" si="137"/>
        <v>0</v>
      </c>
      <c r="Q459" s="394">
        <f>SUM($P$4:P459)/COUNT($P$4:P459)</f>
        <v>0.52850877192982459</v>
      </c>
      <c r="W459" s="396">
        <f t="shared" si="138"/>
        <v>0</v>
      </c>
      <c r="X459" s="394" t="e">
        <f>SUM($W$4:W459)/COUNT($W$4:W459)</f>
        <v>#DIV/0!</v>
      </c>
    </row>
    <row r="460" spans="1:24" x14ac:dyDescent="0.15">
      <c r="A460" s="384">
        <f t="shared" si="136"/>
        <v>458</v>
      </c>
      <c r="B460" s="401">
        <f t="shared" si="123"/>
        <v>41032</v>
      </c>
      <c r="D460" s="390">
        <v>40470.18</v>
      </c>
      <c r="E460" s="387">
        <f>D460</f>
        <v>40470.18</v>
      </c>
      <c r="F460" s="387">
        <f t="shared" si="131"/>
        <v>-130.96113000000332</v>
      </c>
      <c r="G460" s="388">
        <f t="shared" si="132"/>
        <v>-3.2255529365710078E-3</v>
      </c>
      <c r="H460" s="387">
        <f t="shared" si="129"/>
        <v>17614.330000000002</v>
      </c>
      <c r="I460" s="388">
        <f t="shared" si="130"/>
        <v>0.77067052855177143</v>
      </c>
      <c r="L460" s="369">
        <v>1391.57</v>
      </c>
      <c r="M460" s="394">
        <f t="shared" si="139"/>
        <v>-6.0072286746953862E-3</v>
      </c>
      <c r="N460" s="394">
        <f t="shared" si="134"/>
        <v>0.49618312403234111</v>
      </c>
      <c r="O460" s="395" t="str">
        <f t="shared" si="135"/>
        <v>Yes</v>
      </c>
      <c r="P460" s="396">
        <f t="shared" si="137"/>
        <v>1</v>
      </c>
      <c r="Q460" s="394">
        <f>SUM($P$4:P460)/COUNT($P$4:P460)</f>
        <v>0.52954048140043763</v>
      </c>
      <c r="W460" s="396">
        <f t="shared" si="138"/>
        <v>0</v>
      </c>
      <c r="X460" s="394" t="e">
        <f>SUM($W$4:W460)/COUNT($W$4:W460)</f>
        <v>#DIV/0!</v>
      </c>
    </row>
    <row r="461" spans="1:24" x14ac:dyDescent="0.15">
      <c r="A461" s="384">
        <f t="shared" si="136"/>
        <v>459</v>
      </c>
      <c r="B461" s="401">
        <f t="shared" ref="B461:B524" si="140">B460+7</f>
        <v>41039</v>
      </c>
      <c r="D461" s="390">
        <v>39597.51</v>
      </c>
      <c r="E461" s="387">
        <f>D461</f>
        <v>39597.51</v>
      </c>
      <c r="F461" s="387">
        <f>E461-E450</f>
        <v>-1254.3799700000018</v>
      </c>
      <c r="G461" s="388">
        <f t="shared" si="132"/>
        <v>-2.1563284373827818E-2</v>
      </c>
      <c r="H461" s="387">
        <f t="shared" si="129"/>
        <v>16741.660000000003</v>
      </c>
      <c r="I461" s="388">
        <f t="shared" si="130"/>
        <v>0.73248905641225348</v>
      </c>
      <c r="L461" s="369">
        <v>1358.03</v>
      </c>
      <c r="M461" s="394">
        <f t="shared" si="139"/>
        <v>-2.4102272972254313E-2</v>
      </c>
      <c r="N461" s="394">
        <f t="shared" si="134"/>
        <v>0.46012170996043333</v>
      </c>
      <c r="O461" s="395" t="str">
        <f t="shared" si="135"/>
        <v>Yes</v>
      </c>
      <c r="P461" s="396">
        <f t="shared" si="137"/>
        <v>1</v>
      </c>
      <c r="Q461" s="394">
        <f>SUM($P$4:P461)/COUNT($P$4:P461)</f>
        <v>0.53056768558951961</v>
      </c>
      <c r="W461" s="396">
        <f t="shared" si="138"/>
        <v>0</v>
      </c>
      <c r="X461" s="394" t="e">
        <f>SUM($W$4:W461)/COUNT($W$4:W461)</f>
        <v>#DIV/0!</v>
      </c>
    </row>
    <row r="462" spans="1:24" x14ac:dyDescent="0.15">
      <c r="A462" s="384">
        <f t="shared" si="136"/>
        <v>460</v>
      </c>
      <c r="B462" s="401">
        <f t="shared" si="140"/>
        <v>41046</v>
      </c>
      <c r="D462" s="390">
        <v>38075.29</v>
      </c>
      <c r="E462" s="387">
        <v>38075.29</v>
      </c>
      <c r="F462" s="387">
        <f>E462-E451</f>
        <v>-2698.1325099999958</v>
      </c>
      <c r="G462" s="388">
        <f t="shared" si="132"/>
        <v>-3.8442316196144688E-2</v>
      </c>
      <c r="H462" s="387">
        <f t="shared" si="129"/>
        <v>15219.440000000002</v>
      </c>
      <c r="I462" s="388">
        <f t="shared" si="130"/>
        <v>0.66588816429929332</v>
      </c>
      <c r="L462" s="369">
        <v>1304.8599999999999</v>
      </c>
      <c r="M462" s="394">
        <f t="shared" si="139"/>
        <v>-3.9152301495548714E-2</v>
      </c>
      <c r="N462" s="394">
        <f t="shared" si="134"/>
        <v>0.40295458455186628</v>
      </c>
      <c r="O462" s="395" t="str">
        <f t="shared" si="135"/>
        <v>Yes</v>
      </c>
      <c r="P462" s="396">
        <f t="shared" si="137"/>
        <v>1</v>
      </c>
      <c r="Q462" s="394">
        <f>SUM($P$4:P462)/COUNT($P$4:P462)</f>
        <v>0.53159041394335516</v>
      </c>
      <c r="W462" s="396">
        <f t="shared" si="138"/>
        <v>0</v>
      </c>
      <c r="X462" s="394" t="e">
        <f>SUM($W$4:W462)/COUNT($W$4:W462)</f>
        <v>#DIV/0!</v>
      </c>
    </row>
    <row r="463" spans="1:24" x14ac:dyDescent="0.15">
      <c r="A463" s="384">
        <f t="shared" si="136"/>
        <v>461</v>
      </c>
      <c r="B463" s="401">
        <f t="shared" si="140"/>
        <v>41053</v>
      </c>
      <c r="D463" s="390">
        <v>38231.85</v>
      </c>
      <c r="E463" s="387">
        <f t="shared" ref="E463:E471" si="141">D463</f>
        <v>38231.85</v>
      </c>
      <c r="F463" s="387">
        <f t="shared" ref="F463:F494" si="142">E463-E462</f>
        <v>156.55999999999767</v>
      </c>
      <c r="G463" s="388">
        <f t="shared" si="132"/>
        <v>4.1118531204882292E-3</v>
      </c>
      <c r="H463" s="387">
        <f t="shared" si="129"/>
        <v>15376</v>
      </c>
      <c r="I463" s="388">
        <f t="shared" si="130"/>
        <v>0.67273805174605195</v>
      </c>
      <c r="L463" s="369">
        <v>1320.68</v>
      </c>
      <c r="M463" s="394">
        <f t="shared" si="139"/>
        <v>1.2123906012905694E-2</v>
      </c>
      <c r="N463" s="394">
        <f t="shared" si="134"/>
        <v>0.41996387407534841</v>
      </c>
      <c r="O463" s="395" t="str">
        <f t="shared" si="135"/>
        <v>No</v>
      </c>
      <c r="P463" s="396">
        <f t="shared" si="137"/>
        <v>0</v>
      </c>
      <c r="Q463" s="394">
        <f>SUM($P$4:P463)/COUNT($P$4:P463)</f>
        <v>0.5304347826086957</v>
      </c>
      <c r="W463" s="396">
        <f t="shared" si="138"/>
        <v>0</v>
      </c>
      <c r="X463" s="394" t="e">
        <f>SUM($W$4:W463)/COUNT($W$4:W463)</f>
        <v>#DIV/0!</v>
      </c>
    </row>
    <row r="464" spans="1:24" x14ac:dyDescent="0.15">
      <c r="A464" s="384">
        <f t="shared" si="136"/>
        <v>462</v>
      </c>
      <c r="B464" s="401">
        <f t="shared" si="140"/>
        <v>41060</v>
      </c>
      <c r="D464" s="390">
        <v>38054.910000000003</v>
      </c>
      <c r="E464" s="387">
        <f t="shared" si="141"/>
        <v>38054.910000000003</v>
      </c>
      <c r="F464" s="387">
        <f t="shared" si="142"/>
        <v>-176.93999999999505</v>
      </c>
      <c r="G464" s="388">
        <f t="shared" si="132"/>
        <v>-4.6280784215253501E-3</v>
      </c>
      <c r="H464" s="387">
        <f t="shared" si="129"/>
        <v>15199.060000000005</v>
      </c>
      <c r="I464" s="388">
        <f t="shared" si="130"/>
        <v>0.66499648886390172</v>
      </c>
      <c r="L464" s="369">
        <v>1310.33</v>
      </c>
      <c r="M464" s="394">
        <f t="shared" si="139"/>
        <v>-7.8368719144683574E-3</v>
      </c>
      <c r="N464" s="394">
        <f t="shared" si="134"/>
        <v>0.40883579907104761</v>
      </c>
      <c r="O464" s="395" t="str">
        <f t="shared" si="135"/>
        <v>Yes</v>
      </c>
      <c r="P464" s="396">
        <f t="shared" si="137"/>
        <v>1</v>
      </c>
      <c r="Q464" s="394">
        <f>SUM($P$4:P464)/COUNT($P$4:P464)</f>
        <v>0.53145336225596529</v>
      </c>
      <c r="W464" s="396">
        <f t="shared" si="138"/>
        <v>0</v>
      </c>
      <c r="X464" s="394" t="e">
        <f>SUM($W$4:W464)/COUNT($W$4:W464)</f>
        <v>#DIV/0!</v>
      </c>
    </row>
    <row r="465" spans="1:24" x14ac:dyDescent="0.15">
      <c r="A465" s="384">
        <f t="shared" si="136"/>
        <v>463</v>
      </c>
      <c r="B465" s="401">
        <f t="shared" si="140"/>
        <v>41067</v>
      </c>
      <c r="D465" s="390">
        <v>38191.910000000003</v>
      </c>
      <c r="E465" s="387">
        <f t="shared" si="141"/>
        <v>38191.910000000003</v>
      </c>
      <c r="F465" s="387">
        <f t="shared" si="142"/>
        <v>137</v>
      </c>
      <c r="G465" s="388">
        <f t="shared" si="132"/>
        <v>3.6000610696491631E-3</v>
      </c>
      <c r="H465" s="387">
        <f t="shared" si="129"/>
        <v>15336.060000000005</v>
      </c>
      <c r="I465" s="388">
        <f t="shared" si="130"/>
        <v>0.67099057790456307</v>
      </c>
      <c r="L465" s="369">
        <v>1314.99</v>
      </c>
      <c r="M465" s="394">
        <f t="shared" ref="M465:M471" si="143">(L465/L464)-1</f>
        <v>3.5563560324498589E-3</v>
      </c>
      <c r="N465" s="394">
        <f t="shared" si="134"/>
        <v>0.41384612076380511</v>
      </c>
      <c r="O465" s="395" t="str">
        <f t="shared" si="135"/>
        <v>Yes</v>
      </c>
      <c r="P465" s="396">
        <f t="shared" si="137"/>
        <v>1</v>
      </c>
      <c r="Q465" s="394">
        <f>SUM($P$4:P465)/COUNT($P$4:P465)</f>
        <v>0.53246753246753242</v>
      </c>
      <c r="W465" s="396">
        <f t="shared" si="138"/>
        <v>0</v>
      </c>
      <c r="X465" s="394" t="e">
        <f>SUM($W$4:W465)/COUNT($W$4:W465)</f>
        <v>#DIV/0!</v>
      </c>
    </row>
    <row r="466" spans="1:24" x14ac:dyDescent="0.15">
      <c r="A466" s="384">
        <f t="shared" si="136"/>
        <v>464</v>
      </c>
      <c r="B466" s="401">
        <f t="shared" si="140"/>
        <v>41074</v>
      </c>
      <c r="D466" s="390">
        <v>38600.559999999998</v>
      </c>
      <c r="E466" s="387">
        <f t="shared" si="141"/>
        <v>38600.559999999998</v>
      </c>
      <c r="F466" s="387">
        <f t="shared" si="142"/>
        <v>408.64999999999418</v>
      </c>
      <c r="G466" s="388">
        <f t="shared" si="132"/>
        <v>1.0699910007119229E-2</v>
      </c>
      <c r="H466" s="387">
        <f t="shared" si="129"/>
        <v>15744.71</v>
      </c>
      <c r="I466" s="388">
        <f t="shared" si="130"/>
        <v>0.68887002671088582</v>
      </c>
      <c r="L466" s="369">
        <v>1329.1</v>
      </c>
      <c r="M466" s="394">
        <f t="shared" si="143"/>
        <v>1.0730119620681489E-2</v>
      </c>
      <c r="N466" s="394">
        <f t="shared" si="134"/>
        <v>0.42901685876483731</v>
      </c>
      <c r="O466" s="395" t="str">
        <f t="shared" si="135"/>
        <v>No</v>
      </c>
      <c r="P466" s="396">
        <f t="shared" si="137"/>
        <v>0</v>
      </c>
      <c r="Q466" s="394">
        <f>SUM($P$4:P466)/COUNT($P$4:P466)</f>
        <v>0.53131749460043198</v>
      </c>
      <c r="W466" s="396">
        <f t="shared" si="138"/>
        <v>0</v>
      </c>
      <c r="X466" s="394" t="e">
        <f>SUM($W$4:W466)/COUNT($W$4:W466)</f>
        <v>#DIV/0!</v>
      </c>
    </row>
    <row r="467" spans="1:24" x14ac:dyDescent="0.15">
      <c r="A467" s="384">
        <f t="shared" si="136"/>
        <v>465</v>
      </c>
      <c r="B467" s="401">
        <f t="shared" si="140"/>
        <v>41081</v>
      </c>
      <c r="D467" s="390">
        <v>38496.339999999997</v>
      </c>
      <c r="E467" s="387">
        <f t="shared" si="141"/>
        <v>38496.339999999997</v>
      </c>
      <c r="F467" s="387">
        <f t="shared" si="142"/>
        <v>-104.22000000000116</v>
      </c>
      <c r="G467" s="388">
        <f t="shared" si="132"/>
        <v>-2.6999608295839028E-3</v>
      </c>
      <c r="H467" s="387">
        <f t="shared" si="129"/>
        <v>15640.489999999998</v>
      </c>
      <c r="I467" s="388">
        <f t="shared" si="130"/>
        <v>0.68431014379250832</v>
      </c>
      <c r="L467" s="369">
        <v>1325.51</v>
      </c>
      <c r="M467" s="394">
        <f t="shared" si="143"/>
        <v>-2.701075916033302E-3</v>
      </c>
      <c r="N467" s="394">
        <f t="shared" si="134"/>
        <v>0.42515697574402189</v>
      </c>
      <c r="O467" s="395" t="str">
        <f t="shared" si="135"/>
        <v>Yes</v>
      </c>
      <c r="P467" s="396">
        <f t="shared" si="137"/>
        <v>1</v>
      </c>
      <c r="Q467" s="394">
        <f>SUM($P$4:P467)/COUNT($P$4:P467)</f>
        <v>0.53232758620689657</v>
      </c>
      <c r="W467" s="396">
        <f t="shared" si="138"/>
        <v>0</v>
      </c>
      <c r="X467" s="394" t="e">
        <f>SUM($W$4:W467)/COUNT($W$4:W467)</f>
        <v>#DIV/0!</v>
      </c>
    </row>
    <row r="468" spans="1:24" x14ac:dyDescent="0.15">
      <c r="A468" s="384">
        <f t="shared" si="136"/>
        <v>466</v>
      </c>
      <c r="B468" s="401">
        <f t="shared" si="140"/>
        <v>41088</v>
      </c>
      <c r="D468" s="390">
        <v>38600.28</v>
      </c>
      <c r="E468" s="387">
        <f t="shared" si="141"/>
        <v>38600.28</v>
      </c>
      <c r="F468" s="387">
        <f t="shared" si="142"/>
        <v>103.94000000000233</v>
      </c>
      <c r="G468" s="388">
        <f t="shared" si="132"/>
        <v>2.6999969347736297E-3</v>
      </c>
      <c r="H468" s="387">
        <f t="shared" si="129"/>
        <v>15744.43</v>
      </c>
      <c r="I468" s="388">
        <f t="shared" si="130"/>
        <v>0.68885777601795617</v>
      </c>
      <c r="L468" s="369">
        <v>1329.04</v>
      </c>
      <c r="M468" s="394">
        <f t="shared" si="143"/>
        <v>2.6631258911664624E-3</v>
      </c>
      <c r="N468" s="394">
        <f t="shared" si="134"/>
        <v>0.42895234818510231</v>
      </c>
      <c r="O468" s="395" t="str">
        <f t="shared" si="135"/>
        <v>Yes</v>
      </c>
      <c r="P468" s="396">
        <f t="shared" si="137"/>
        <v>1</v>
      </c>
      <c r="Q468" s="394">
        <f>SUM($P$4:P468)/COUNT($P$4:P468)</f>
        <v>0.53333333333333333</v>
      </c>
      <c r="W468" s="396">
        <f t="shared" si="138"/>
        <v>0</v>
      </c>
      <c r="X468" s="394" t="e">
        <f>SUM($W$4:W468)/COUNT($W$4:W468)</f>
        <v>#DIV/0!</v>
      </c>
    </row>
    <row r="469" spans="1:24" x14ac:dyDescent="0.15">
      <c r="A469" s="384">
        <f t="shared" si="136"/>
        <v>467</v>
      </c>
      <c r="B469" s="401">
        <f t="shared" si="140"/>
        <v>41095</v>
      </c>
      <c r="D469" s="390">
        <v>39719.69</v>
      </c>
      <c r="E469" s="387">
        <f t="shared" si="141"/>
        <v>39719.69</v>
      </c>
      <c r="F469" s="387">
        <f t="shared" si="142"/>
        <v>1119.4100000000035</v>
      </c>
      <c r="G469" s="388">
        <f t="shared" si="132"/>
        <v>2.9000048704310055E-2</v>
      </c>
      <c r="H469" s="387">
        <f t="shared" si="129"/>
        <v>16863.840000000004</v>
      </c>
      <c r="I469" s="388">
        <f t="shared" si="130"/>
        <v>0.73783473377712938</v>
      </c>
      <c r="L469" s="369">
        <v>1367.58</v>
      </c>
      <c r="M469" s="394">
        <f t="shared" si="143"/>
        <v>2.8998374766748825E-2</v>
      </c>
      <c r="N469" s="394">
        <f t="shared" si="134"/>
        <v>0.47038964390159976</v>
      </c>
      <c r="O469" s="395" t="str">
        <f t="shared" si="135"/>
        <v>Yes</v>
      </c>
      <c r="P469" s="396">
        <f t="shared" si="137"/>
        <v>1</v>
      </c>
      <c r="Q469" s="394">
        <f>SUM($P$4:P469)/COUNT($P$4:P469)</f>
        <v>0.53433476394849788</v>
      </c>
      <c r="W469" s="396">
        <f t="shared" si="138"/>
        <v>0</v>
      </c>
      <c r="X469" s="394" t="e">
        <f>SUM($W$4:W469)/COUNT($W$4:W469)</f>
        <v>#DIV/0!</v>
      </c>
    </row>
    <row r="470" spans="1:24" x14ac:dyDescent="0.15">
      <c r="A470" s="384">
        <f t="shared" si="136"/>
        <v>468</v>
      </c>
      <c r="B470" s="401">
        <f t="shared" si="140"/>
        <v>41102</v>
      </c>
      <c r="D470" s="390">
        <v>38766.42</v>
      </c>
      <c r="E470" s="387">
        <f t="shared" si="141"/>
        <v>38766.42</v>
      </c>
      <c r="F470" s="387">
        <f t="shared" si="142"/>
        <v>-953.27000000000407</v>
      </c>
      <c r="G470" s="388">
        <f t="shared" si="132"/>
        <v>-2.3999935548339013E-2</v>
      </c>
      <c r="H470" s="387">
        <f t="shared" si="129"/>
        <v>15910.57</v>
      </c>
      <c r="I470" s="388">
        <f t="shared" si="130"/>
        <v>0.69612681217281347</v>
      </c>
      <c r="L470" s="369">
        <v>1334.76</v>
      </c>
      <c r="M470" s="394">
        <f t="shared" si="143"/>
        <v>-2.3998596060193833E-2</v>
      </c>
      <c r="N470" s="394">
        <f t="shared" si="134"/>
        <v>0.43510235678651288</v>
      </c>
      <c r="O470" s="395" t="str">
        <f t="shared" si="135"/>
        <v>No</v>
      </c>
      <c r="P470" s="396">
        <f t="shared" si="137"/>
        <v>0</v>
      </c>
      <c r="Q470" s="394">
        <f>SUM($P$4:P470)/COUNT($P$4:P470)</f>
        <v>0.53319057815845827</v>
      </c>
      <c r="W470" s="396">
        <f t="shared" si="138"/>
        <v>0</v>
      </c>
      <c r="X470" s="394" t="e">
        <f>SUM($W$4:W470)/COUNT($W$4:W470)</f>
        <v>#DIV/0!</v>
      </c>
    </row>
    <row r="471" spans="1:24" x14ac:dyDescent="0.15">
      <c r="A471" s="384">
        <f t="shared" si="136"/>
        <v>469</v>
      </c>
      <c r="B471" s="401">
        <f t="shared" si="140"/>
        <v>41109</v>
      </c>
      <c r="D471" s="390">
        <v>39979.800000000003</v>
      </c>
      <c r="E471" s="387">
        <f t="shared" si="141"/>
        <v>39979.800000000003</v>
      </c>
      <c r="F471" s="387">
        <f t="shared" si="142"/>
        <v>1213.3800000000047</v>
      </c>
      <c r="G471" s="388">
        <f t="shared" si="132"/>
        <v>3.1299769233269492E-2</v>
      </c>
      <c r="H471" s="387">
        <f t="shared" si="129"/>
        <v>17123.950000000004</v>
      </c>
      <c r="I471" s="388">
        <f t="shared" si="130"/>
        <v>0.74921518998418368</v>
      </c>
      <c r="L471" s="369">
        <v>1376.51</v>
      </c>
      <c r="M471" s="394">
        <f t="shared" si="143"/>
        <v>3.1279031436363125E-2</v>
      </c>
      <c r="N471" s="394">
        <f t="shared" si="134"/>
        <v>0.47999096851883705</v>
      </c>
      <c r="O471" s="395" t="str">
        <f t="shared" si="135"/>
        <v>Yes</v>
      </c>
      <c r="P471" s="396">
        <f t="shared" si="137"/>
        <v>1</v>
      </c>
      <c r="Q471" s="394">
        <f>SUM($P$4:P471)/COUNT($P$4:P471)</f>
        <v>0.53418803418803418</v>
      </c>
      <c r="W471" s="396">
        <f t="shared" si="138"/>
        <v>0</v>
      </c>
      <c r="X471" s="394" t="e">
        <f>SUM($W$4:W471)/COUNT($W$4:W471)</f>
        <v>#DIV/0!</v>
      </c>
    </row>
    <row r="472" spans="1:24" x14ac:dyDescent="0.15">
      <c r="A472" s="384">
        <f t="shared" si="136"/>
        <v>470</v>
      </c>
      <c r="B472" s="401">
        <f t="shared" si="140"/>
        <v>41116</v>
      </c>
      <c r="D472" s="390">
        <v>38207.230000000003</v>
      </c>
      <c r="E472" s="387">
        <v>38207.230000000003</v>
      </c>
      <c r="F472" s="387">
        <f t="shared" si="142"/>
        <v>-1772.5699999999997</v>
      </c>
      <c r="G472" s="388">
        <f t="shared" si="132"/>
        <v>-4.4336640003201588E-2</v>
      </c>
      <c r="H472" s="387">
        <f t="shared" si="129"/>
        <v>15351.380000000005</v>
      </c>
      <c r="I472" s="388">
        <f t="shared" si="130"/>
        <v>0.671660865817723</v>
      </c>
      <c r="L472" s="369">
        <v>1360.02</v>
      </c>
      <c r="M472" s="394">
        <f>(L472/L471)-1</f>
        <v>-1.1979571525088772E-2</v>
      </c>
      <c r="N472" s="394">
        <f t="shared" si="134"/>
        <v>0.46226131085498023</v>
      </c>
      <c r="O472" s="395" t="str">
        <f t="shared" si="135"/>
        <v>No</v>
      </c>
      <c r="P472" s="396">
        <f t="shared" si="137"/>
        <v>0</v>
      </c>
      <c r="Q472" s="394">
        <f>SUM($P$4:P472)/COUNT($P$4:P472)</f>
        <v>0.53304904051172708</v>
      </c>
      <c r="W472" s="396">
        <f t="shared" si="138"/>
        <v>0</v>
      </c>
      <c r="X472" s="394" t="e">
        <f>SUM($W$4:W472)/COUNT($W$4:W472)</f>
        <v>#DIV/0!</v>
      </c>
    </row>
    <row r="473" spans="1:24" x14ac:dyDescent="0.15">
      <c r="A473" s="384">
        <f t="shared" si="136"/>
        <v>471</v>
      </c>
      <c r="B473" s="401">
        <f t="shared" si="140"/>
        <v>41123</v>
      </c>
      <c r="D473" s="390">
        <v>38353.26</v>
      </c>
      <c r="E473" s="387">
        <v>38353.26</v>
      </c>
      <c r="F473" s="387">
        <f t="shared" si="142"/>
        <v>146.02999999999884</v>
      </c>
      <c r="G473" s="388">
        <f t="shared" si="132"/>
        <v>3.8220514808322559E-3</v>
      </c>
      <c r="H473" s="387">
        <f t="shared" si="129"/>
        <v>15497.410000000003</v>
      </c>
      <c r="I473" s="388">
        <f t="shared" si="130"/>
        <v>0.67805003970537103</v>
      </c>
      <c r="L473" s="369">
        <v>1365</v>
      </c>
      <c r="M473" s="394">
        <f t="shared" ref="M473:M491" si="144">(L473/L472)-1</f>
        <v>3.6617108571932455E-3</v>
      </c>
      <c r="N473" s="394">
        <f t="shared" si="134"/>
        <v>0.46761568897299144</v>
      </c>
      <c r="O473" s="395" t="str">
        <f t="shared" si="135"/>
        <v>Yes</v>
      </c>
      <c r="P473" s="396">
        <f t="shared" si="137"/>
        <v>1</v>
      </c>
      <c r="Q473" s="394">
        <f>SUM($P$4:P473)/COUNT($P$4:P473)</f>
        <v>0.53404255319148941</v>
      </c>
      <c r="W473" s="396">
        <f t="shared" si="138"/>
        <v>0</v>
      </c>
      <c r="X473" s="394" t="e">
        <f>SUM($W$4:W473)/COUNT($W$4:W473)</f>
        <v>#DIV/0!</v>
      </c>
    </row>
    <row r="474" spans="1:24" x14ac:dyDescent="0.15">
      <c r="A474" s="384">
        <f t="shared" si="136"/>
        <v>472</v>
      </c>
      <c r="B474" s="401">
        <f t="shared" si="140"/>
        <v>41130</v>
      </c>
      <c r="D474" s="390">
        <v>39415.94</v>
      </c>
      <c r="E474" s="387">
        <v>39415.94</v>
      </c>
      <c r="F474" s="387">
        <f t="shared" si="142"/>
        <v>1062.6800000000003</v>
      </c>
      <c r="G474" s="388">
        <f t="shared" si="132"/>
        <v>2.7707683779683911E-2</v>
      </c>
      <c r="H474" s="387">
        <f t="shared" si="129"/>
        <v>16560.090000000004</v>
      </c>
      <c r="I474" s="388">
        <f t="shared" si="130"/>
        <v>0.7245449195720135</v>
      </c>
      <c r="L474" s="369">
        <v>1402.8</v>
      </c>
      <c r="M474" s="394">
        <f t="shared" si="144"/>
        <v>2.7692307692307683E-2</v>
      </c>
      <c r="N474" s="394">
        <f t="shared" si="134"/>
        <v>0.50825735420608975</v>
      </c>
      <c r="O474" s="395" t="str">
        <f t="shared" si="135"/>
        <v>Yes</v>
      </c>
      <c r="P474" s="396">
        <f t="shared" si="137"/>
        <v>1</v>
      </c>
      <c r="Q474" s="394">
        <f>SUM($P$4:P474)/COUNT($P$4:P474)</f>
        <v>0.53503184713375795</v>
      </c>
      <c r="W474" s="396">
        <f t="shared" si="138"/>
        <v>0</v>
      </c>
      <c r="X474" s="394" t="e">
        <f>SUM($W$4:W474)/COUNT($W$4:W474)</f>
        <v>#DIV/0!</v>
      </c>
    </row>
    <row r="475" spans="1:24" x14ac:dyDescent="0.15">
      <c r="A475" s="384">
        <f t="shared" si="136"/>
        <v>473</v>
      </c>
      <c r="B475" s="401">
        <f t="shared" si="140"/>
        <v>41137</v>
      </c>
      <c r="D475" s="390">
        <v>39842.959999999999</v>
      </c>
      <c r="E475" s="387">
        <v>39842.959999999999</v>
      </c>
      <c r="F475" s="387">
        <f t="shared" si="142"/>
        <v>427.0199999999968</v>
      </c>
      <c r="G475" s="388">
        <f t="shared" si="132"/>
        <v>1.0833688096744565E-2</v>
      </c>
      <c r="H475" s="387">
        <f t="shared" si="129"/>
        <v>16987.11</v>
      </c>
      <c r="I475" s="388">
        <f t="shared" si="130"/>
        <v>0.74322810133948214</v>
      </c>
      <c r="L475" s="369">
        <v>1415.84</v>
      </c>
      <c r="M475" s="394">
        <f t="shared" si="144"/>
        <v>9.2956943256343738E-3</v>
      </c>
      <c r="N475" s="394">
        <f t="shared" si="134"/>
        <v>0.52227765353517963</v>
      </c>
      <c r="O475" s="395" t="str">
        <f t="shared" si="135"/>
        <v>Yes</v>
      </c>
      <c r="P475" s="396">
        <f t="shared" si="137"/>
        <v>1</v>
      </c>
      <c r="Q475" s="394">
        <f>SUM($P$4:P475)/COUNT($P$4:P475)</f>
        <v>0.53601694915254239</v>
      </c>
      <c r="W475" s="396">
        <f t="shared" si="138"/>
        <v>0</v>
      </c>
      <c r="X475" s="394" t="e">
        <f>SUM($W$4:W475)/COUNT($W$4:W475)</f>
        <v>#DIV/0!</v>
      </c>
    </row>
    <row r="476" spans="1:24" x14ac:dyDescent="0.15">
      <c r="A476" s="384">
        <f t="shared" si="136"/>
        <v>474</v>
      </c>
      <c r="B476" s="401">
        <f t="shared" si="140"/>
        <v>41144</v>
      </c>
      <c r="D476" s="390">
        <v>39588.76</v>
      </c>
      <c r="E476" s="387">
        <v>39588.76</v>
      </c>
      <c r="F476" s="387">
        <f t="shared" si="142"/>
        <v>-254.19999999999709</v>
      </c>
      <c r="G476" s="388">
        <f t="shared" si="132"/>
        <v>-6.3800480687177252E-3</v>
      </c>
      <c r="H476" s="387">
        <f t="shared" si="129"/>
        <v>16732.910000000003</v>
      </c>
      <c r="I476" s="388">
        <f t="shared" si="130"/>
        <v>0.73210622225819666</v>
      </c>
      <c r="L476" s="369">
        <v>1402.08</v>
      </c>
      <c r="M476" s="394">
        <f t="shared" si="144"/>
        <v>-9.7186122725732016E-3</v>
      </c>
      <c r="N476" s="394">
        <f t="shared" si="134"/>
        <v>0.50748322724926864</v>
      </c>
      <c r="O476" s="395" t="str">
        <f t="shared" si="135"/>
        <v>Yes</v>
      </c>
      <c r="P476" s="396">
        <f t="shared" si="137"/>
        <v>1</v>
      </c>
      <c r="Q476" s="394">
        <f>SUM($P$4:P476)/COUNT($P$4:P476)</f>
        <v>0.53699788583509511</v>
      </c>
      <c r="W476" s="396">
        <f t="shared" si="138"/>
        <v>0</v>
      </c>
      <c r="X476" s="394" t="e">
        <f>SUM($W$4:W476)/COUNT($W$4:W476)</f>
        <v>#DIV/0!</v>
      </c>
    </row>
    <row r="477" spans="1:24" x14ac:dyDescent="0.15">
      <c r="A477" s="384">
        <f t="shared" si="136"/>
        <v>475</v>
      </c>
      <c r="B477" s="401">
        <f t="shared" si="140"/>
        <v>41151</v>
      </c>
      <c r="D477" s="390">
        <v>39623.96</v>
      </c>
      <c r="E477" s="387">
        <v>39623.96</v>
      </c>
      <c r="F477" s="387">
        <f t="shared" si="142"/>
        <v>35.19999999999709</v>
      </c>
      <c r="G477" s="388">
        <f t="shared" si="132"/>
        <v>8.8914126130745785E-4</v>
      </c>
      <c r="H477" s="387">
        <f t="shared" si="129"/>
        <v>16768.11</v>
      </c>
      <c r="I477" s="388">
        <f t="shared" si="130"/>
        <v>0.73364630936937369</v>
      </c>
      <c r="L477" s="369">
        <v>1400.07</v>
      </c>
      <c r="M477" s="394">
        <f t="shared" si="144"/>
        <v>-1.4335843889079491E-3</v>
      </c>
      <c r="N477" s="394">
        <f t="shared" si="134"/>
        <v>0.5053221228281437</v>
      </c>
      <c r="O477" s="395" t="str">
        <f t="shared" si="135"/>
        <v>Yes</v>
      </c>
      <c r="P477" s="396">
        <f t="shared" si="137"/>
        <v>1</v>
      </c>
      <c r="Q477" s="394">
        <f>SUM($P$4:P477)/COUNT($P$4:P477)</f>
        <v>0.53797468354430378</v>
      </c>
      <c r="S477" s="369">
        <v>13000.71</v>
      </c>
      <c r="W477" s="396">
        <f t="shared" si="138"/>
        <v>0</v>
      </c>
      <c r="X477" s="394" t="e">
        <f>SUM($W$4:W477)/COUNT($W$4:W477)</f>
        <v>#DIV/0!</v>
      </c>
    </row>
    <row r="478" spans="1:24" x14ac:dyDescent="0.15">
      <c r="A478" s="384">
        <f t="shared" si="136"/>
        <v>476</v>
      </c>
      <c r="B478" s="401">
        <f t="shared" si="140"/>
        <v>41158</v>
      </c>
      <c r="D478" s="390">
        <v>40381.870000000003</v>
      </c>
      <c r="E478" s="387">
        <v>40381.870000000003</v>
      </c>
      <c r="F478" s="387">
        <f t="shared" si="142"/>
        <v>757.91000000000349</v>
      </c>
      <c r="G478" s="388">
        <f t="shared" si="132"/>
        <v>1.9127568269299733E-2</v>
      </c>
      <c r="H478" s="387">
        <f t="shared" si="129"/>
        <v>17526.020000000004</v>
      </c>
      <c r="I478" s="388">
        <f t="shared" si="130"/>
        <v>0.76680674750665601</v>
      </c>
      <c r="L478" s="369">
        <v>1432.12</v>
      </c>
      <c r="M478" s="394">
        <f t="shared" si="144"/>
        <v>2.2891712557229216E-2</v>
      </c>
      <c r="N478" s="394">
        <f t="shared" si="134"/>
        <v>0.53978152416996372</v>
      </c>
      <c r="O478" s="395" t="str">
        <f t="shared" si="135"/>
        <v>No</v>
      </c>
      <c r="P478" s="396">
        <f t="shared" si="137"/>
        <v>0</v>
      </c>
      <c r="Q478" s="394">
        <f>SUM($P$4:P478)/COUNT($P$4:P478)</f>
        <v>0.5368421052631579</v>
      </c>
      <c r="S478" s="369">
        <v>13292</v>
      </c>
      <c r="T478" s="394">
        <f>(S478/S477)-1</f>
        <v>2.2405699381033983E-2</v>
      </c>
      <c r="U478" s="394">
        <f t="shared" ref="U478:U491" si="145">(S478/$S$3)-1</f>
        <v>0.54870040593381075</v>
      </c>
      <c r="V478" s="395" t="str">
        <f t="shared" ref="V478:V509" si="146">IF(G478&gt;T478,"Yes","No")</f>
        <v>No</v>
      </c>
      <c r="W478" s="396">
        <f t="shared" si="138"/>
        <v>0</v>
      </c>
      <c r="X478" s="394">
        <f>SUM($W$478:W478)/COUNT($W$478:W478)</f>
        <v>0</v>
      </c>
    </row>
    <row r="479" spans="1:24" x14ac:dyDescent="0.15">
      <c r="A479" s="384">
        <f t="shared" si="136"/>
        <v>477</v>
      </c>
      <c r="B479" s="401">
        <f t="shared" si="140"/>
        <v>41165</v>
      </c>
      <c r="D479" s="390">
        <v>41104.82</v>
      </c>
      <c r="E479" s="387">
        <v>41104.82</v>
      </c>
      <c r="F479" s="387">
        <f t="shared" si="142"/>
        <v>722.94999999999709</v>
      </c>
      <c r="G479" s="388">
        <f t="shared" si="132"/>
        <v>1.7902836099467301E-2</v>
      </c>
      <c r="H479" s="387">
        <f t="shared" si="129"/>
        <v>18248.97</v>
      </c>
      <c r="I479" s="388">
        <f t="shared" si="130"/>
        <v>0.79843759912670076</v>
      </c>
      <c r="L479" s="369">
        <v>1459.99</v>
      </c>
      <c r="M479" s="394">
        <f t="shared" si="144"/>
        <v>1.9460659721252549E-2</v>
      </c>
      <c r="N479" s="394">
        <f t="shared" si="134"/>
        <v>0.5697466884569069</v>
      </c>
      <c r="O479" s="395" t="str">
        <f t="shared" si="135"/>
        <v>No</v>
      </c>
      <c r="P479" s="396">
        <f t="shared" si="137"/>
        <v>0</v>
      </c>
      <c r="Q479" s="394">
        <f>SUM($P$4:P479)/COUNT($P$4:P479)</f>
        <v>0.5357142857142857</v>
      </c>
      <c r="S479" s="369">
        <v>13529.86</v>
      </c>
      <c r="T479" s="394">
        <f t="shared" ref="T479:T491" si="147">(S479/S478)-1</f>
        <v>1.7894974420704202E-2</v>
      </c>
      <c r="U479" s="394">
        <f t="shared" si="145"/>
        <v>0.57641436008333069</v>
      </c>
      <c r="V479" s="395" t="str">
        <f t="shared" si="146"/>
        <v>Yes</v>
      </c>
      <c r="W479" s="396">
        <f t="shared" si="138"/>
        <v>1</v>
      </c>
      <c r="X479" s="394">
        <f>SUM($W$478:W479)/COUNT($W$478:W479)</f>
        <v>0.5</v>
      </c>
    </row>
    <row r="480" spans="1:24" x14ac:dyDescent="0.15">
      <c r="A480" s="384">
        <f t="shared" si="136"/>
        <v>478</v>
      </c>
      <c r="B480" s="401">
        <f t="shared" si="140"/>
        <v>41172</v>
      </c>
      <c r="D480" s="390">
        <v>41012.585077953358</v>
      </c>
      <c r="E480" s="387">
        <v>41012.585077953358</v>
      </c>
      <c r="F480" s="387">
        <f t="shared" si="142"/>
        <v>-92.234922046642168</v>
      </c>
      <c r="G480" s="388">
        <f t="shared" si="132"/>
        <v>-2.2438955345539524E-3</v>
      </c>
      <c r="H480" s="387">
        <f t="shared" si="129"/>
        <v>18156.735077953359</v>
      </c>
      <c r="I480" s="388">
        <f t="shared" si="130"/>
        <v>0.79440209302884646</v>
      </c>
      <c r="L480" s="369">
        <v>1460.26</v>
      </c>
      <c r="M480" s="394">
        <f t="shared" si="144"/>
        <v>1.8493277351216975E-4</v>
      </c>
      <c r="N480" s="394">
        <f t="shared" si="134"/>
        <v>0.57003698606571462</v>
      </c>
      <c r="O480" s="395" t="str">
        <f t="shared" si="135"/>
        <v>No</v>
      </c>
      <c r="P480" s="396">
        <f t="shared" si="137"/>
        <v>0</v>
      </c>
      <c r="Q480" s="394">
        <f>SUM($P$4:P480)/COUNT($P$4:P480)</f>
        <v>0.53459119496855345</v>
      </c>
      <c r="S480" s="369">
        <v>13596.93</v>
      </c>
      <c r="T480" s="394">
        <f t="shared" si="147"/>
        <v>4.9571835924391294E-3</v>
      </c>
      <c r="U480" s="394">
        <f t="shared" si="145"/>
        <v>0.58422893548402133</v>
      </c>
      <c r="V480" s="395" t="str">
        <f t="shared" si="146"/>
        <v>No</v>
      </c>
      <c r="W480" s="396">
        <f t="shared" si="138"/>
        <v>0</v>
      </c>
      <c r="X480" s="394">
        <f>SUM($W$478:W480)/COUNT($W$478:W480)</f>
        <v>0.33333333333333331</v>
      </c>
    </row>
    <row r="481" spans="1:24" x14ac:dyDescent="0.15">
      <c r="A481" s="384">
        <f t="shared" si="136"/>
        <v>479</v>
      </c>
      <c r="B481" s="401">
        <f t="shared" si="140"/>
        <v>41179</v>
      </c>
      <c r="D481" s="390">
        <v>40547.910000000003</v>
      </c>
      <c r="E481" s="387">
        <f>D481</f>
        <v>40547.910000000003</v>
      </c>
      <c r="F481" s="387">
        <f t="shared" si="142"/>
        <v>-464.67507795335405</v>
      </c>
      <c r="G481" s="388">
        <f t="shared" si="132"/>
        <v>-1.1330060689179633E-2</v>
      </c>
      <c r="H481" s="387">
        <f t="shared" si="129"/>
        <v>17692.060000000005</v>
      </c>
      <c r="I481" s="388">
        <f t="shared" si="130"/>
        <v>0.77407140841403876</v>
      </c>
      <c r="L481" s="369">
        <v>1460.26</v>
      </c>
      <c r="M481" s="394">
        <f t="shared" si="144"/>
        <v>0</v>
      </c>
      <c r="N481" s="394">
        <f t="shared" si="134"/>
        <v>0.57003698606571462</v>
      </c>
      <c r="O481" s="395" t="str">
        <f t="shared" si="135"/>
        <v>No</v>
      </c>
      <c r="P481" s="396">
        <f t="shared" si="137"/>
        <v>0</v>
      </c>
      <c r="Q481" s="394">
        <f>SUM($P$4:P481)/COUNT($P$4:P481)</f>
        <v>0.53347280334728031</v>
      </c>
      <c r="S481" s="369">
        <v>13485.97</v>
      </c>
      <c r="T481" s="394">
        <f t="shared" si="147"/>
        <v>-8.1606656796792132E-3</v>
      </c>
      <c r="U481" s="394">
        <f t="shared" si="145"/>
        <v>0.57130057278146218</v>
      </c>
      <c r="V481" s="395" t="str">
        <f t="shared" si="146"/>
        <v>No</v>
      </c>
      <c r="W481" s="396">
        <f t="shared" si="138"/>
        <v>0</v>
      </c>
      <c r="X481" s="394">
        <f>SUM($W$478:W481)/COUNT($W$478:W481)</f>
        <v>0.25</v>
      </c>
    </row>
    <row r="482" spans="1:24" x14ac:dyDescent="0.15">
      <c r="A482" s="384">
        <f t="shared" si="136"/>
        <v>480</v>
      </c>
      <c r="B482" s="401">
        <f t="shared" si="140"/>
        <v>41186</v>
      </c>
      <c r="D482" s="390">
        <v>41960.800000000003</v>
      </c>
      <c r="E482" s="387">
        <v>41960.800000000003</v>
      </c>
      <c r="F482" s="387">
        <f t="shared" si="142"/>
        <v>1412.8899999999994</v>
      </c>
      <c r="G482" s="388">
        <f t="shared" si="132"/>
        <v>3.4844952551191799E-2</v>
      </c>
      <c r="H482" s="387">
        <f t="shared" si="129"/>
        <v>19104.950000000004</v>
      </c>
      <c r="I482" s="388">
        <f t="shared" si="130"/>
        <v>0.83588884246265205</v>
      </c>
      <c r="L482" s="369">
        <v>1461.4</v>
      </c>
      <c r="M482" s="394">
        <f t="shared" si="144"/>
        <v>7.8068289208776953E-4</v>
      </c>
      <c r="N482" s="394">
        <f t="shared" si="134"/>
        <v>0.57126268708068118</v>
      </c>
      <c r="O482" s="395" t="str">
        <f t="shared" si="135"/>
        <v>Yes</v>
      </c>
      <c r="P482" s="396">
        <f t="shared" si="137"/>
        <v>1</v>
      </c>
      <c r="Q482" s="394">
        <f>SUM($P$4:P482)/COUNT($P$4:P482)</f>
        <v>0.53444676409185798</v>
      </c>
      <c r="S482" s="369">
        <v>13575.36</v>
      </c>
      <c r="T482" s="394">
        <f t="shared" si="147"/>
        <v>6.628370076457335E-3</v>
      </c>
      <c r="U482" s="394">
        <f t="shared" si="145"/>
        <v>0.58171573447920699</v>
      </c>
      <c r="V482" s="395" t="str">
        <f t="shared" si="146"/>
        <v>Yes</v>
      </c>
      <c r="W482" s="396">
        <f t="shared" si="138"/>
        <v>1</v>
      </c>
      <c r="X482" s="394">
        <f>SUM($W$478:W482)/COUNT($W$478:W482)</f>
        <v>0.4</v>
      </c>
    </row>
    <row r="483" spans="1:24" x14ac:dyDescent="0.15">
      <c r="A483" s="384">
        <f t="shared" si="136"/>
        <v>481</v>
      </c>
      <c r="B483" s="401">
        <f t="shared" si="140"/>
        <v>41193</v>
      </c>
      <c r="D483" s="390">
        <v>41235.269999999997</v>
      </c>
      <c r="E483" s="387">
        <v>41235.269999999997</v>
      </c>
      <c r="F483" s="387">
        <f t="shared" si="142"/>
        <v>-725.53000000000611</v>
      </c>
      <c r="G483" s="388">
        <f t="shared" si="132"/>
        <v>-1.7290661760500425E-2</v>
      </c>
      <c r="H483" s="387">
        <f t="shared" si="129"/>
        <v>18379.419999999998</v>
      </c>
      <c r="I483" s="388">
        <f t="shared" si="130"/>
        <v>0.80414510945775364</v>
      </c>
      <c r="L483" s="369">
        <v>1432.84</v>
      </c>
      <c r="M483" s="394">
        <f t="shared" si="144"/>
        <v>-1.954290406459569E-2</v>
      </c>
      <c r="N483" s="394">
        <f t="shared" si="134"/>
        <v>0.54055565112678461</v>
      </c>
      <c r="O483" s="395" t="str">
        <f t="shared" si="135"/>
        <v>Yes</v>
      </c>
      <c r="P483" s="396">
        <f t="shared" si="137"/>
        <v>1</v>
      </c>
      <c r="Q483" s="394">
        <f>SUM($P$4:P483)/COUNT($P$4:P483)</f>
        <v>0.53541666666666665</v>
      </c>
      <c r="S483" s="369">
        <v>13326.39</v>
      </c>
      <c r="T483" s="394">
        <f t="shared" si="147"/>
        <v>-1.8339845131178922E-2</v>
      </c>
      <c r="U483" s="394">
        <f t="shared" si="145"/>
        <v>0.55270731286730945</v>
      </c>
      <c r="V483" s="395" t="str">
        <f t="shared" si="146"/>
        <v>Yes</v>
      </c>
      <c r="W483" s="396">
        <f t="shared" si="138"/>
        <v>1</v>
      </c>
      <c r="X483" s="394">
        <f>SUM($W$478:W483)/COUNT($W$478:W483)</f>
        <v>0.5</v>
      </c>
    </row>
    <row r="484" spans="1:24" x14ac:dyDescent="0.15">
      <c r="A484" s="384">
        <f t="shared" si="136"/>
        <v>482</v>
      </c>
      <c r="B484" s="401">
        <f t="shared" si="140"/>
        <v>41200</v>
      </c>
      <c r="D484" s="390">
        <v>40700.233639999999</v>
      </c>
      <c r="E484" s="387">
        <v>40700.233639999999</v>
      </c>
      <c r="F484" s="387">
        <f t="shared" si="142"/>
        <v>-535.03635999999824</v>
      </c>
      <c r="G484" s="388">
        <f t="shared" si="132"/>
        <v>-1.2975211754403415E-2</v>
      </c>
      <c r="H484" s="387">
        <f t="shared" si="129"/>
        <v>17844.38364</v>
      </c>
      <c r="I484" s="388">
        <f t="shared" si="130"/>
        <v>0.78073594462686802</v>
      </c>
      <c r="L484" s="369">
        <v>1457.34</v>
      </c>
      <c r="M484" s="394">
        <f t="shared" si="144"/>
        <v>1.709890846151696E-2</v>
      </c>
      <c r="N484" s="394">
        <f t="shared" si="134"/>
        <v>0.56689747118527434</v>
      </c>
      <c r="O484" s="395" t="str">
        <f t="shared" si="135"/>
        <v>No</v>
      </c>
      <c r="P484" s="396">
        <f t="shared" si="137"/>
        <v>0</v>
      </c>
      <c r="Q484" s="394">
        <f>SUM($P$4:P484)/COUNT($P$4:P484)</f>
        <v>0.53430353430353428</v>
      </c>
      <c r="S484" s="369">
        <v>13548.94</v>
      </c>
      <c r="T484" s="394">
        <f t="shared" si="147"/>
        <v>1.6699946497138463E-2</v>
      </c>
      <c r="U484" s="394">
        <f t="shared" si="145"/>
        <v>0.578637441917909</v>
      </c>
      <c r="V484" s="395" t="str">
        <f t="shared" si="146"/>
        <v>No</v>
      </c>
      <c r="W484" s="396">
        <f t="shared" si="138"/>
        <v>0</v>
      </c>
      <c r="X484" s="394">
        <f>SUM($W$478:W484)/COUNT($W$478:W484)</f>
        <v>0.42857142857142855</v>
      </c>
    </row>
    <row r="485" spans="1:24" x14ac:dyDescent="0.15">
      <c r="A485" s="384">
        <f t="shared" si="136"/>
        <v>483</v>
      </c>
      <c r="B485" s="401">
        <f t="shared" si="140"/>
        <v>41207</v>
      </c>
      <c r="D485" s="390">
        <v>40165.19728</v>
      </c>
      <c r="E485" s="387">
        <v>40165.19728</v>
      </c>
      <c r="F485" s="387">
        <f t="shared" si="142"/>
        <v>-535.03635999999824</v>
      </c>
      <c r="G485" s="388">
        <f t="shared" si="132"/>
        <v>-1.314578104716746E-2</v>
      </c>
      <c r="H485" s="387">
        <f t="shared" si="129"/>
        <v>17309.347280000002</v>
      </c>
      <c r="I485" s="388">
        <f t="shared" si="130"/>
        <v>0.7573267797959824</v>
      </c>
      <c r="L485" s="369">
        <v>1412.97</v>
      </c>
      <c r="M485" s="394">
        <f t="shared" si="144"/>
        <v>-3.0445880851414198E-2</v>
      </c>
      <c r="N485" s="394">
        <f t="shared" si="134"/>
        <v>0.51919189747118533</v>
      </c>
      <c r="O485" s="395" t="str">
        <f t="shared" si="135"/>
        <v>Yes</v>
      </c>
      <c r="P485" s="396">
        <f t="shared" si="137"/>
        <v>1</v>
      </c>
      <c r="Q485" s="394">
        <f>SUM($P$4:P485)/COUNT($P$4:P485)</f>
        <v>0.53526970954356845</v>
      </c>
      <c r="S485" s="369">
        <v>13103.68</v>
      </c>
      <c r="T485" s="394">
        <f t="shared" si="147"/>
        <v>-3.2863087444479078E-2</v>
      </c>
      <c r="U485" s="394">
        <f t="shared" si="145"/>
        <v>0.52675854162103208</v>
      </c>
      <c r="V485" s="395" t="str">
        <f t="shared" si="146"/>
        <v>Yes</v>
      </c>
      <c r="W485" s="396">
        <f t="shared" si="138"/>
        <v>1</v>
      </c>
      <c r="X485" s="394">
        <f>SUM($W$478:W485)/COUNT($W$478:W485)</f>
        <v>0.5</v>
      </c>
    </row>
    <row r="486" spans="1:24" x14ac:dyDescent="0.15">
      <c r="A486" s="384">
        <f t="shared" si="136"/>
        <v>484</v>
      </c>
      <c r="B486" s="401">
        <f t="shared" si="140"/>
        <v>41214</v>
      </c>
      <c r="D486" s="390">
        <v>40718.718090000002</v>
      </c>
      <c r="E486" s="387">
        <v>40718.718090000002</v>
      </c>
      <c r="F486" s="387">
        <f t="shared" si="142"/>
        <v>553.5208100000018</v>
      </c>
      <c r="G486" s="388">
        <f t="shared" si="132"/>
        <v>1.3781105222546053E-2</v>
      </c>
      <c r="H486" s="387">
        <f t="shared" si="129"/>
        <v>17862.868090000004</v>
      </c>
      <c r="I486" s="388">
        <f t="shared" si="130"/>
        <v>0.78154468505874886</v>
      </c>
      <c r="L486" s="369">
        <v>1427.59</v>
      </c>
      <c r="M486" s="394">
        <f t="shared" si="144"/>
        <v>1.0346999582439675E-2</v>
      </c>
      <c r="N486" s="394">
        <f t="shared" si="134"/>
        <v>0.53491097539996546</v>
      </c>
      <c r="O486" s="395" t="str">
        <f t="shared" si="135"/>
        <v>Yes</v>
      </c>
      <c r="P486" s="396">
        <f t="shared" si="137"/>
        <v>1</v>
      </c>
      <c r="Q486" s="394">
        <f>SUM($P$4:P486)/COUNT($P$4:P486)</f>
        <v>0.53623188405797106</v>
      </c>
      <c r="S486" s="369">
        <v>13232.62</v>
      </c>
      <c r="T486" s="394">
        <f t="shared" si="147"/>
        <v>9.8399838823903796E-3</v>
      </c>
      <c r="U486" s="394">
        <f t="shared" si="145"/>
        <v>0.54178182106288486</v>
      </c>
      <c r="V486" s="395" t="str">
        <f t="shared" si="146"/>
        <v>Yes</v>
      </c>
      <c r="W486" s="396">
        <f t="shared" si="138"/>
        <v>1</v>
      </c>
      <c r="X486" s="394">
        <f>SUM($W$478:W486)/COUNT($W$478:W486)</f>
        <v>0.55555555555555558</v>
      </c>
    </row>
    <row r="487" spans="1:24" x14ac:dyDescent="0.15">
      <c r="A487" s="384">
        <f t="shared" si="136"/>
        <v>485</v>
      </c>
      <c r="B487" s="401">
        <f t="shared" si="140"/>
        <v>41221</v>
      </c>
      <c r="D487" s="390">
        <v>40056.262699999999</v>
      </c>
      <c r="E487" s="387">
        <v>40056.262699999999</v>
      </c>
      <c r="F487" s="387">
        <f t="shared" si="142"/>
        <v>-662.45539000000281</v>
      </c>
      <c r="G487" s="388">
        <f t="shared" si="132"/>
        <v>-1.6269063002813278E-2</v>
      </c>
      <c r="H487" s="387">
        <f t="shared" si="129"/>
        <v>17200.412700000001</v>
      </c>
      <c r="I487" s="388">
        <f t="shared" si="130"/>
        <v>0.75256062233520082</v>
      </c>
      <c r="L487" s="369">
        <v>1377.51</v>
      </c>
      <c r="M487" s="394">
        <f t="shared" si="144"/>
        <v>-3.5080100028719641E-2</v>
      </c>
      <c r="N487" s="394">
        <f t="shared" si="134"/>
        <v>0.4810661448477549</v>
      </c>
      <c r="O487" s="395" t="str">
        <f t="shared" si="135"/>
        <v>Yes</v>
      </c>
      <c r="P487" s="396">
        <f t="shared" si="137"/>
        <v>1</v>
      </c>
      <c r="Q487" s="394">
        <f>SUM($P$4:P487)/COUNT($P$4:P487)</f>
        <v>0.53719008264462809</v>
      </c>
      <c r="S487" s="369">
        <v>12811.32</v>
      </c>
      <c r="T487" s="394">
        <f t="shared" si="147"/>
        <v>-3.1837988244202697E-2</v>
      </c>
      <c r="U487" s="394">
        <f t="shared" si="145"/>
        <v>0.49269458956875933</v>
      </c>
      <c r="V487" s="395" t="str">
        <f t="shared" si="146"/>
        <v>Yes</v>
      </c>
      <c r="W487" s="396">
        <f t="shared" si="138"/>
        <v>1</v>
      </c>
      <c r="X487" s="394">
        <f>SUM($W$478:W487)/COUNT($W$478:W487)</f>
        <v>0.6</v>
      </c>
    </row>
    <row r="488" spans="1:24" x14ac:dyDescent="0.15">
      <c r="A488" s="384">
        <f t="shared" si="136"/>
        <v>486</v>
      </c>
      <c r="B488" s="401">
        <f t="shared" si="140"/>
        <v>41228</v>
      </c>
      <c r="D488" s="390">
        <v>39654.838309999999</v>
      </c>
      <c r="E488" s="387">
        <v>39654.838309999999</v>
      </c>
      <c r="F488" s="387">
        <f t="shared" si="142"/>
        <v>-401.42439000000013</v>
      </c>
      <c r="G488" s="388">
        <f t="shared" si="132"/>
        <v>-1.0021513814367888E-2</v>
      </c>
      <c r="H488" s="387">
        <f t="shared" si="129"/>
        <v>16798.988310000001</v>
      </c>
      <c r="I488" s="388">
        <f t="shared" si="130"/>
        <v>0.73499731184795158</v>
      </c>
      <c r="L488" s="369">
        <v>1353.33</v>
      </c>
      <c r="M488" s="394">
        <f t="shared" si="144"/>
        <v>-1.7553411590478518E-2</v>
      </c>
      <c r="N488" s="394">
        <f t="shared" si="134"/>
        <v>0.45506838121451909</v>
      </c>
      <c r="O488" s="395" t="str">
        <f t="shared" si="135"/>
        <v>Yes</v>
      </c>
      <c r="P488" s="396">
        <f t="shared" ref="P488" si="148">IF(O488="Yes",1,0)</f>
        <v>1</v>
      </c>
      <c r="Q488" s="394">
        <f>SUM($P$4:P488)/COUNT($P$4:P488)</f>
        <v>0.53814432989690719</v>
      </c>
      <c r="S488" s="369">
        <v>12542.38</v>
      </c>
      <c r="T488" s="394">
        <f t="shared" si="147"/>
        <v>-2.0992372370684742E-2</v>
      </c>
      <c r="U488" s="394">
        <f t="shared" si="145"/>
        <v>0.46135938890882544</v>
      </c>
      <c r="V488" s="395" t="str">
        <f t="shared" si="146"/>
        <v>Yes</v>
      </c>
      <c r="W488" s="396">
        <f t="shared" si="138"/>
        <v>1</v>
      </c>
      <c r="X488" s="394">
        <f>SUM($W$478:W488)/COUNT($W$478:W488)</f>
        <v>0.63636363636363635</v>
      </c>
    </row>
    <row r="489" spans="1:24" x14ac:dyDescent="0.15">
      <c r="A489" s="384">
        <f t="shared" si="136"/>
        <v>487</v>
      </c>
      <c r="B489" s="401">
        <f t="shared" si="140"/>
        <v>41235</v>
      </c>
      <c r="D489" s="390">
        <v>40815.434999999998</v>
      </c>
      <c r="E489" s="387">
        <v>40815.434999999998</v>
      </c>
      <c r="F489" s="387">
        <f t="shared" si="142"/>
        <v>1160.5966899999985</v>
      </c>
      <c r="G489" s="388">
        <f t="shared" si="132"/>
        <v>2.9267467463291119E-2</v>
      </c>
      <c r="H489" s="387">
        <f t="shared" ref="H489:H533" si="149">E489-$D$3</f>
        <v>17959.584999999999</v>
      </c>
      <c r="I489" s="388">
        <f t="shared" ref="I489:I533" si="150">(E489/$D$3)-1</f>
        <v>0.78577628922135911</v>
      </c>
      <c r="L489" s="369">
        <v>1391.03</v>
      </c>
      <c r="M489" s="394">
        <f t="shared" si="144"/>
        <v>2.7857211470964316E-2</v>
      </c>
      <c r="N489" s="394">
        <f t="shared" si="134"/>
        <v>0.49560252881472544</v>
      </c>
      <c r="O489" s="395" t="str">
        <f t="shared" si="135"/>
        <v>Yes</v>
      </c>
      <c r="P489" s="396">
        <f t="shared" ref="P489:P490" si="151">IF(O489="Yes",1,0)</f>
        <v>1</v>
      </c>
      <c r="Q489" s="394">
        <f>SUM($P$4:P489)/COUNT($P$4:P489)</f>
        <v>0.53909465020576131</v>
      </c>
      <c r="S489" s="369">
        <v>12836.89</v>
      </c>
      <c r="T489" s="394">
        <f t="shared" si="147"/>
        <v>2.3481189375541112E-2</v>
      </c>
      <c r="U489" s="394">
        <f t="shared" si="145"/>
        <v>0.49567384546551874</v>
      </c>
      <c r="V489" s="395" t="str">
        <f t="shared" si="146"/>
        <v>Yes</v>
      </c>
      <c r="W489" s="396">
        <f t="shared" ref="W489:W490" si="152">IF(V489="Yes",1,0)</f>
        <v>1</v>
      </c>
      <c r="X489" s="394">
        <f>SUM($W$478:W489)/COUNT($W$478:W489)</f>
        <v>0.66666666666666663</v>
      </c>
    </row>
    <row r="490" spans="1:24" x14ac:dyDescent="0.15">
      <c r="A490" s="384">
        <f t="shared" si="136"/>
        <v>488</v>
      </c>
      <c r="B490" s="401">
        <f t="shared" si="140"/>
        <v>41242</v>
      </c>
      <c r="D490" s="390">
        <v>41576.026640000004</v>
      </c>
      <c r="E490" s="387">
        <v>41576.026640000004</v>
      </c>
      <c r="F490" s="387">
        <f t="shared" si="142"/>
        <v>760.59164000000601</v>
      </c>
      <c r="G490" s="388">
        <f t="shared" si="132"/>
        <v>1.86349022128518E-2</v>
      </c>
      <c r="H490" s="387">
        <f t="shared" si="149"/>
        <v>18720.176640000005</v>
      </c>
      <c r="I490" s="388">
        <f t="shared" si="150"/>
        <v>0.81905405574502832</v>
      </c>
      <c r="L490" s="369">
        <v>1415.95</v>
      </c>
      <c r="M490" s="394">
        <f t="shared" si="144"/>
        <v>1.7914782571188281E-2</v>
      </c>
      <c r="N490" s="394">
        <f t="shared" si="134"/>
        <v>0.52239592293136083</v>
      </c>
      <c r="O490" s="395" t="str">
        <f t="shared" si="135"/>
        <v>Yes</v>
      </c>
      <c r="P490" s="396">
        <f t="shared" si="151"/>
        <v>1</v>
      </c>
      <c r="Q490" s="394">
        <f>SUM($P$4:P490)/COUNT($P$4:P490)</f>
        <v>0.54004106776180694</v>
      </c>
      <c r="S490" s="369">
        <v>13021.82</v>
      </c>
      <c r="T490" s="394">
        <f t="shared" si="147"/>
        <v>1.440613731207474E-2</v>
      </c>
      <c r="U490" s="394">
        <f t="shared" si="145"/>
        <v>0.51722072825737397</v>
      </c>
      <c r="V490" s="395" t="str">
        <f t="shared" si="146"/>
        <v>Yes</v>
      </c>
      <c r="W490" s="396">
        <f t="shared" si="152"/>
        <v>1</v>
      </c>
      <c r="X490" s="394">
        <f>SUM($W$478:W490)/COUNT($W$478:W490)</f>
        <v>0.69230769230769229</v>
      </c>
    </row>
    <row r="491" spans="1:24" x14ac:dyDescent="0.15">
      <c r="A491" s="384">
        <f t="shared" si="136"/>
        <v>489</v>
      </c>
      <c r="B491" s="401">
        <f t="shared" si="140"/>
        <v>41249</v>
      </c>
      <c r="D491" s="390">
        <v>42184.788499999995</v>
      </c>
      <c r="E491" s="387">
        <v>42184.788499999995</v>
      </c>
      <c r="F491" s="387">
        <f t="shared" si="142"/>
        <v>608.76185999999143</v>
      </c>
      <c r="G491" s="388">
        <f t="shared" si="132"/>
        <v>1.4642136567574404E-2</v>
      </c>
      <c r="H491" s="387">
        <f t="shared" si="149"/>
        <v>19328.938499999997</v>
      </c>
      <c r="I491" s="388">
        <f t="shared" si="150"/>
        <v>0.84568889365304711</v>
      </c>
      <c r="L491" s="369">
        <v>1413.94</v>
      </c>
      <c r="M491" s="394">
        <f t="shared" si="144"/>
        <v>-1.4195416504819702E-3</v>
      </c>
      <c r="N491" s="394">
        <f t="shared" si="134"/>
        <v>0.52023481851023567</v>
      </c>
      <c r="O491" s="395" t="str">
        <f t="shared" si="135"/>
        <v>Yes</v>
      </c>
      <c r="P491" s="396">
        <f t="shared" ref="P491" si="153">IF(O491="Yes",1,0)</f>
        <v>1</v>
      </c>
      <c r="Q491" s="394">
        <f>SUM($P$4:P491)/COUNT($P$4:P491)</f>
        <v>0.54098360655737709</v>
      </c>
      <c r="S491" s="369">
        <v>13074.04</v>
      </c>
      <c r="T491" s="394">
        <f t="shared" si="147"/>
        <v>4.0101921236816995E-3</v>
      </c>
      <c r="U491" s="394">
        <f t="shared" si="145"/>
        <v>0.52330507487171851</v>
      </c>
      <c r="V491" s="395" t="str">
        <f t="shared" si="146"/>
        <v>Yes</v>
      </c>
      <c r="W491" s="396">
        <f t="shared" ref="W491:W520" si="154">IF(V491="Yes",1,0)</f>
        <v>1</v>
      </c>
      <c r="X491" s="394">
        <f>SUM($W$478:W491)/COUNT($W$478:W491)</f>
        <v>0.7142857142857143</v>
      </c>
    </row>
    <row r="492" spans="1:24" x14ac:dyDescent="0.15">
      <c r="A492" s="384">
        <f t="shared" si="136"/>
        <v>490</v>
      </c>
      <c r="B492" s="401">
        <f t="shared" si="140"/>
        <v>41256</v>
      </c>
      <c r="D492" s="390">
        <v>42004.612049999996</v>
      </c>
      <c r="E492" s="387">
        <v>42004.612049999996</v>
      </c>
      <c r="F492" s="387">
        <f t="shared" si="142"/>
        <v>-180.17644999999902</v>
      </c>
      <c r="G492" s="388">
        <f t="shared" si="132"/>
        <v>-4.2711237013787207E-3</v>
      </c>
      <c r="H492" s="387">
        <f t="shared" si="149"/>
        <v>19148.762049999998</v>
      </c>
      <c r="I492" s="388">
        <f t="shared" si="150"/>
        <v>0.83780572807399412</v>
      </c>
      <c r="L492" s="369">
        <v>1419.45</v>
      </c>
      <c r="M492" s="394">
        <f t="shared" ref="M492:M495" si="155">(L492/L491)-1</f>
        <v>3.8969121744911739E-3</v>
      </c>
      <c r="N492" s="394">
        <f t="shared" ref="N492:N495" si="156">(L492/$L$3)-1</f>
        <v>0.52615904008257353</v>
      </c>
      <c r="O492" s="395" t="str">
        <f t="shared" si="135"/>
        <v>No</v>
      </c>
      <c r="P492" s="396">
        <f t="shared" ref="P492" si="157">IF(O492="Yes",1,0)</f>
        <v>0</v>
      </c>
      <c r="Q492" s="394">
        <f>SUM($P$4:P492)/COUNT($P$4:P492)</f>
        <v>0.53987730061349692</v>
      </c>
      <c r="S492" s="369">
        <v>13170.72</v>
      </c>
      <c r="T492" s="394">
        <f t="shared" ref="T492:T495" si="158">(S492/S491)-1</f>
        <v>7.3948068079949802E-3</v>
      </c>
      <c r="U492" s="394">
        <f t="shared" ref="U492:U495" si="159">(S492/$S$3)-1</f>
        <v>0.53456962161003307</v>
      </c>
      <c r="V492" s="395" t="str">
        <f t="shared" si="146"/>
        <v>No</v>
      </c>
      <c r="W492" s="396">
        <f t="shared" si="154"/>
        <v>0</v>
      </c>
      <c r="X492" s="394">
        <f>SUM($W$478:W492)/COUNT($W$478:W492)</f>
        <v>0.66666666666666663</v>
      </c>
    </row>
    <row r="493" spans="1:24" x14ac:dyDescent="0.15">
      <c r="A493" s="384">
        <f t="shared" si="136"/>
        <v>491</v>
      </c>
      <c r="B493" s="401">
        <f t="shared" si="140"/>
        <v>41263</v>
      </c>
      <c r="D493" s="390">
        <v>42586.80442</v>
      </c>
      <c r="E493" s="387">
        <v>42586.80442</v>
      </c>
      <c r="F493" s="387">
        <f t="shared" si="142"/>
        <v>582.1923700000043</v>
      </c>
      <c r="G493" s="388">
        <f t="shared" si="132"/>
        <v>1.3860201096655533E-2</v>
      </c>
      <c r="H493" s="387">
        <f t="shared" si="149"/>
        <v>19730.954420000002</v>
      </c>
      <c r="I493" s="388">
        <f t="shared" si="150"/>
        <v>0.86327808504168524</v>
      </c>
      <c r="L493" s="369">
        <v>1443.69</v>
      </c>
      <c r="M493" s="394">
        <f t="shared" si="155"/>
        <v>1.7077036880481788E-2</v>
      </c>
      <c r="N493" s="394">
        <f t="shared" si="156"/>
        <v>0.55222131429554455</v>
      </c>
      <c r="O493" s="395" t="str">
        <f t="shared" si="135"/>
        <v>No</v>
      </c>
      <c r="P493" s="396">
        <f t="shared" ref="P493" si="160">IF(O493="Yes",1,0)</f>
        <v>0</v>
      </c>
      <c r="Q493" s="394">
        <f>SUM($P$4:P493)/COUNT($P$4:P493)</f>
        <v>0.53877551020408165</v>
      </c>
      <c r="S493" s="369">
        <v>13311.72</v>
      </c>
      <c r="T493" s="394">
        <f t="shared" si="158"/>
        <v>1.0705565071613465E-2</v>
      </c>
      <c r="U493" s="394">
        <f t="shared" si="159"/>
        <v>0.55099805655110057</v>
      </c>
      <c r="V493" s="395" t="str">
        <f t="shared" si="146"/>
        <v>Yes</v>
      </c>
      <c r="W493" s="396">
        <f t="shared" si="154"/>
        <v>1</v>
      </c>
      <c r="X493" s="394">
        <f>SUM($W$478:W493)/COUNT($W$478:W493)</f>
        <v>0.6875</v>
      </c>
    </row>
    <row r="494" spans="1:24" x14ac:dyDescent="0.15">
      <c r="A494" s="384">
        <f t="shared" si="136"/>
        <v>492</v>
      </c>
      <c r="B494" s="401">
        <f t="shared" si="140"/>
        <v>41270</v>
      </c>
      <c r="D494" s="390">
        <v>42024.114944000001</v>
      </c>
      <c r="E494" s="387">
        <v>42024.114944000001</v>
      </c>
      <c r="F494" s="387">
        <f t="shared" si="142"/>
        <v>-562.68947599999956</v>
      </c>
      <c r="G494" s="388">
        <f t="shared" si="132"/>
        <v>-1.3212765871104981E-2</v>
      </c>
      <c r="H494" s="387">
        <f t="shared" si="149"/>
        <v>19168.264944000002</v>
      </c>
      <c r="I494" s="388">
        <f t="shared" si="150"/>
        <v>0.83865902795126868</v>
      </c>
      <c r="L494" s="369">
        <v>1418.1</v>
      </c>
      <c r="M494" s="394">
        <f t="shared" si="155"/>
        <v>-1.7725411965172633E-2</v>
      </c>
      <c r="N494" s="394">
        <f t="shared" si="156"/>
        <v>0.52470755203853425</v>
      </c>
      <c r="O494" s="395" t="str">
        <f t="shared" si="135"/>
        <v>Yes</v>
      </c>
      <c r="P494" s="396">
        <f t="shared" ref="P494" si="161">IF(O494="Yes",1,0)</f>
        <v>1</v>
      </c>
      <c r="Q494" s="394">
        <f>SUM($P$4:P494)/COUNT($P$4:P494)</f>
        <v>0.53971486761710796</v>
      </c>
      <c r="S494" s="369">
        <v>13096.31</v>
      </c>
      <c r="T494" s="394">
        <f t="shared" si="158"/>
        <v>-1.6181980991186729E-2</v>
      </c>
      <c r="U494" s="394">
        <f t="shared" si="159"/>
        <v>0.52589983548262298</v>
      </c>
      <c r="V494" s="395" t="str">
        <f t="shared" si="146"/>
        <v>Yes</v>
      </c>
      <c r="W494" s="396">
        <f t="shared" si="154"/>
        <v>1</v>
      </c>
      <c r="X494" s="394">
        <f>SUM($W$478:W494)/COUNT($W$478:W494)</f>
        <v>0.70588235294117652</v>
      </c>
    </row>
    <row r="495" spans="1:24" x14ac:dyDescent="0.15">
      <c r="A495" s="384">
        <f t="shared" si="136"/>
        <v>493</v>
      </c>
      <c r="B495" s="401">
        <f t="shared" si="140"/>
        <v>41277</v>
      </c>
      <c r="D495" s="390">
        <v>43258.213370000005</v>
      </c>
      <c r="E495" s="387">
        <v>43258.213370000005</v>
      </c>
      <c r="F495" s="387">
        <f t="shared" ref="F495:F526" si="162">E495-E494</f>
        <v>1234.0984260000041</v>
      </c>
      <c r="G495" s="388">
        <f t="shared" ref="G495:G533" si="163">(E495/E494)-1</f>
        <v>2.9366434668392838E-2</v>
      </c>
      <c r="H495" s="387">
        <f t="shared" si="149"/>
        <v>20402.363370000006</v>
      </c>
      <c r="I495" s="388">
        <f t="shared" si="150"/>
        <v>0.89265388817305014</v>
      </c>
      <c r="L495" s="369">
        <v>1459.37</v>
      </c>
      <c r="M495" s="394">
        <f t="shared" si="155"/>
        <v>2.910232000564128E-2</v>
      </c>
      <c r="N495" s="394">
        <f t="shared" si="156"/>
        <v>0.56908007913297753</v>
      </c>
      <c r="O495" s="395" t="str">
        <f t="shared" si="135"/>
        <v>Yes</v>
      </c>
      <c r="P495" s="396">
        <f t="shared" ref="P495" si="164">IF(O495="Yes",1,0)</f>
        <v>1</v>
      </c>
      <c r="Q495" s="394">
        <f>SUM($P$4:P495)/COUNT($P$4:P495)</f>
        <v>0.54065040650406504</v>
      </c>
      <c r="S495" s="369">
        <v>13391.36</v>
      </c>
      <c r="T495" s="394">
        <f t="shared" si="158"/>
        <v>2.2529246787835744E-2</v>
      </c>
      <c r="U495" s="394">
        <f t="shared" si="159"/>
        <v>0.56027720944972903</v>
      </c>
      <c r="V495" s="395" t="str">
        <f t="shared" si="146"/>
        <v>Yes</v>
      </c>
      <c r="W495" s="396">
        <f t="shared" si="154"/>
        <v>1</v>
      </c>
      <c r="X495" s="394">
        <f>SUM($W$478:W495)/COUNT($W$478:W495)</f>
        <v>0.72222222222222221</v>
      </c>
    </row>
    <row r="496" spans="1:24" x14ac:dyDescent="0.15">
      <c r="A496" s="384">
        <f t="shared" si="136"/>
        <v>494</v>
      </c>
      <c r="B496" s="401">
        <f t="shared" si="140"/>
        <v>41284</v>
      </c>
      <c r="D496" s="390">
        <v>43476.738859999998</v>
      </c>
      <c r="E496" s="387">
        <v>43476.738859999998</v>
      </c>
      <c r="F496" s="387">
        <f t="shared" si="162"/>
        <v>218.52548999999271</v>
      </c>
      <c r="G496" s="388">
        <f t="shared" si="163"/>
        <v>5.0516531538387088E-3</v>
      </c>
      <c r="H496" s="387">
        <f t="shared" si="149"/>
        <v>20620.888859999999</v>
      </c>
      <c r="I496" s="388">
        <f t="shared" si="150"/>
        <v>0.90221491915636487</v>
      </c>
      <c r="L496" s="369">
        <v>1472.12</v>
      </c>
      <c r="M496" s="394">
        <f t="shared" ref="M496:M498" si="165">(L496/L495)-1</f>
        <v>8.7366466351919136E-3</v>
      </c>
      <c r="N496" s="394">
        <f t="shared" ref="N496:N498" si="166">(L496/$L$3)-1</f>
        <v>0.58278857732668143</v>
      </c>
      <c r="O496" s="395" t="str">
        <f t="shared" si="135"/>
        <v>No</v>
      </c>
      <c r="P496" s="396">
        <f t="shared" ref="P496" si="167">IF(O496="Yes",1,0)</f>
        <v>0</v>
      </c>
      <c r="Q496" s="394">
        <f>SUM($P$4:P496)/COUNT($P$4:P496)</f>
        <v>0.53955375253549698</v>
      </c>
      <c r="S496" s="369">
        <v>13471.22</v>
      </c>
      <c r="T496" s="394">
        <f t="shared" ref="T496:T498" si="168">(S496/S495)-1</f>
        <v>5.9635466450007613E-3</v>
      </c>
      <c r="U496" s="394">
        <f t="shared" ref="U496:U498" si="169">(S496/$S$3)-1</f>
        <v>0.56958199536741416</v>
      </c>
      <c r="V496" s="395" t="str">
        <f t="shared" si="146"/>
        <v>No</v>
      </c>
      <c r="W496" s="396">
        <f t="shared" si="154"/>
        <v>0</v>
      </c>
      <c r="X496" s="394">
        <f>SUM($W$478:W496)/COUNT($W$478:W496)</f>
        <v>0.68421052631578949</v>
      </c>
    </row>
    <row r="497" spans="1:24" x14ac:dyDescent="0.15">
      <c r="A497" s="384">
        <f t="shared" si="136"/>
        <v>495</v>
      </c>
      <c r="B497" s="401">
        <f t="shared" si="140"/>
        <v>41291</v>
      </c>
      <c r="D497" s="390">
        <v>44130.664919999996</v>
      </c>
      <c r="E497" s="387">
        <v>44130.664919999996</v>
      </c>
      <c r="F497" s="387">
        <f t="shared" si="162"/>
        <v>653.92605999999796</v>
      </c>
      <c r="G497" s="388">
        <f t="shared" si="163"/>
        <v>1.5040825902460586E-2</v>
      </c>
      <c r="H497" s="387">
        <f t="shared" si="149"/>
        <v>21274.814919999997</v>
      </c>
      <c r="I497" s="388">
        <f t="shared" si="150"/>
        <v>0.93082580258445868</v>
      </c>
      <c r="L497" s="369">
        <v>1480.94</v>
      </c>
      <c r="M497" s="394">
        <f t="shared" si="165"/>
        <v>5.9913594000489123E-3</v>
      </c>
      <c r="N497" s="394">
        <f t="shared" si="166"/>
        <v>0.59227163254773774</v>
      </c>
      <c r="O497" s="395" t="str">
        <f t="shared" si="135"/>
        <v>Yes</v>
      </c>
      <c r="P497" s="396">
        <f t="shared" ref="P497" si="170">IF(O497="Yes",1,0)</f>
        <v>1</v>
      </c>
      <c r="Q497" s="394">
        <f>SUM($P$4:P497)/COUNT($P$4:P497)</f>
        <v>0.54048582995951422</v>
      </c>
      <c r="S497" s="369">
        <v>13596.02</v>
      </c>
      <c r="T497" s="394">
        <f t="shared" si="168"/>
        <v>9.2641943342919308E-3</v>
      </c>
      <c r="U497" s="394">
        <f t="shared" si="169"/>
        <v>0.58412290799610367</v>
      </c>
      <c r="V497" s="395" t="str">
        <f t="shared" si="146"/>
        <v>Yes</v>
      </c>
      <c r="W497" s="396">
        <f t="shared" si="154"/>
        <v>1</v>
      </c>
      <c r="X497" s="394">
        <f>SUM($W$478:W497)/COUNT($W$478:W497)</f>
        <v>0.7</v>
      </c>
    </row>
    <row r="498" spans="1:24" x14ac:dyDescent="0.15">
      <c r="A498" s="384">
        <f t="shared" si="136"/>
        <v>496</v>
      </c>
      <c r="B498" s="401">
        <f t="shared" si="140"/>
        <v>41298</v>
      </c>
      <c r="D498" s="390">
        <v>44948.84979</v>
      </c>
      <c r="E498" s="387">
        <v>44948.84979</v>
      </c>
      <c r="F498" s="387">
        <f t="shared" si="162"/>
        <v>818.18487000000459</v>
      </c>
      <c r="G498" s="388">
        <f t="shared" si="163"/>
        <v>1.8540053078357488E-2</v>
      </c>
      <c r="H498" s="387">
        <f t="shared" si="149"/>
        <v>22092.999790000002</v>
      </c>
      <c r="I498" s="388">
        <f t="shared" si="150"/>
        <v>0.96662341544943642</v>
      </c>
      <c r="L498" s="369">
        <v>1494.82</v>
      </c>
      <c r="M498" s="394">
        <f t="shared" si="165"/>
        <v>9.3724256215645951E-3</v>
      </c>
      <c r="N498" s="394">
        <f t="shared" si="166"/>
        <v>0.60719507999311872</v>
      </c>
      <c r="O498" s="395" t="str">
        <f t="shared" si="135"/>
        <v>Yes</v>
      </c>
      <c r="P498" s="396">
        <f t="shared" ref="P498" si="171">IF(O498="Yes",1,0)</f>
        <v>1</v>
      </c>
      <c r="Q498" s="394">
        <f>SUM($P$4:P498)/COUNT($P$4:P498)</f>
        <v>0.54141414141414146</v>
      </c>
      <c r="S498" s="369">
        <v>13825.33</v>
      </c>
      <c r="T498" s="394">
        <f t="shared" si="168"/>
        <v>1.6865965186870779E-2</v>
      </c>
      <c r="U498" s="394">
        <f t="shared" si="169"/>
        <v>0.61084066981409069</v>
      </c>
      <c r="V498" s="395" t="str">
        <f t="shared" si="146"/>
        <v>Yes</v>
      </c>
      <c r="W498" s="396">
        <f t="shared" si="154"/>
        <v>1</v>
      </c>
      <c r="X498" s="394">
        <f>SUM($W$478:W498)/COUNT($W$478:W498)</f>
        <v>0.7142857142857143</v>
      </c>
    </row>
    <row r="499" spans="1:24" x14ac:dyDescent="0.15">
      <c r="A499" s="384">
        <f t="shared" si="136"/>
        <v>497</v>
      </c>
      <c r="B499" s="401">
        <f t="shared" si="140"/>
        <v>41305</v>
      </c>
      <c r="D499" s="390">
        <v>45140.510329999997</v>
      </c>
      <c r="E499" s="387">
        <v>45140.510329999997</v>
      </c>
      <c r="F499" s="387">
        <f t="shared" si="162"/>
        <v>191.66053999999713</v>
      </c>
      <c r="G499" s="388">
        <f t="shared" si="163"/>
        <v>4.2639698433981632E-3</v>
      </c>
      <c r="H499" s="387">
        <f t="shared" si="149"/>
        <v>22284.660329999999</v>
      </c>
      <c r="I499" s="388">
        <f t="shared" si="150"/>
        <v>0.97500903838623376</v>
      </c>
      <c r="L499" s="369">
        <v>1498.11</v>
      </c>
      <c r="M499" s="394">
        <f t="shared" ref="M499:M505" si="172">(L499/L498)-1</f>
        <v>2.2009338917059473E-3</v>
      </c>
      <c r="N499" s="394">
        <f t="shared" ref="N499:N505" si="173">(L499/$L$3)-1</f>
        <v>0.61073241011525869</v>
      </c>
      <c r="O499" s="395" t="str">
        <f t="shared" si="135"/>
        <v>Yes</v>
      </c>
      <c r="P499" s="396">
        <f t="shared" ref="P499" si="174">IF(O499="Yes",1,0)</f>
        <v>1</v>
      </c>
      <c r="Q499" s="394">
        <f>SUM($P$4:P499)/COUNT($P$4:P499)</f>
        <v>0.54233870967741937</v>
      </c>
      <c r="S499" s="369">
        <v>13860.58</v>
      </c>
      <c r="T499" s="394">
        <f t="shared" ref="T499:T505" si="175">(S499/S498)-1</f>
        <v>2.5496678921950178E-3</v>
      </c>
      <c r="U499" s="394">
        <f t="shared" ref="U499:U505" si="176">(S499/$S$3)-1</f>
        <v>0.61494777854935756</v>
      </c>
      <c r="V499" s="395" t="str">
        <f t="shared" si="146"/>
        <v>Yes</v>
      </c>
      <c r="W499" s="396">
        <f t="shared" si="154"/>
        <v>1</v>
      </c>
      <c r="X499" s="394">
        <f>SUM($W$478:W499)/COUNT($W$478:W499)</f>
        <v>0.72727272727272729</v>
      </c>
    </row>
    <row r="500" spans="1:24" x14ac:dyDescent="0.15">
      <c r="A500" s="384">
        <f t="shared" si="136"/>
        <v>498</v>
      </c>
      <c r="B500" s="401">
        <f t="shared" si="140"/>
        <v>41312</v>
      </c>
      <c r="D500" s="390">
        <v>45397.156219999997</v>
      </c>
      <c r="E500" s="387">
        <v>45397.156219999997</v>
      </c>
      <c r="F500" s="387">
        <f t="shared" si="162"/>
        <v>256.64588999999978</v>
      </c>
      <c r="G500" s="388">
        <f t="shared" si="163"/>
        <v>5.6854893337223711E-3</v>
      </c>
      <c r="H500" s="387">
        <f t="shared" si="149"/>
        <v>22541.306219999999</v>
      </c>
      <c r="I500" s="388">
        <f t="shared" si="150"/>
        <v>0.98623793120798386</v>
      </c>
      <c r="L500" s="369">
        <v>1509.39</v>
      </c>
      <c r="M500" s="394">
        <f t="shared" si="172"/>
        <v>7.5294871538138519E-3</v>
      </c>
      <c r="N500" s="394">
        <f t="shared" si="173"/>
        <v>0.62286039910545332</v>
      </c>
      <c r="O500" s="395" t="str">
        <f t="shared" si="135"/>
        <v>No</v>
      </c>
      <c r="P500" s="396">
        <f t="shared" ref="P500" si="177">IF(O500="Yes",1,0)</f>
        <v>0</v>
      </c>
      <c r="Q500" s="394">
        <f>SUM($P$4:P500)/COUNT($P$4:P500)</f>
        <v>0.54124748490945673</v>
      </c>
      <c r="S500" s="369">
        <v>13944.05</v>
      </c>
      <c r="T500" s="394">
        <f t="shared" si="175"/>
        <v>6.0221145146883703E-3</v>
      </c>
      <c r="U500" s="394">
        <f t="shared" si="176"/>
        <v>0.62467317900702324</v>
      </c>
      <c r="V500" s="395" t="str">
        <f t="shared" si="146"/>
        <v>No</v>
      </c>
      <c r="W500" s="396">
        <f t="shared" si="154"/>
        <v>0</v>
      </c>
      <c r="X500" s="394">
        <f>SUM($W$478:W500)/COUNT($W$478:W500)</f>
        <v>0.69565217391304346</v>
      </c>
    </row>
    <row r="501" spans="1:24" x14ac:dyDescent="0.15">
      <c r="A501" s="384">
        <f t="shared" si="136"/>
        <v>499</v>
      </c>
      <c r="B501" s="401">
        <f t="shared" si="140"/>
        <v>41319</v>
      </c>
      <c r="D501" s="390">
        <v>45877.828829999991</v>
      </c>
      <c r="E501" s="387">
        <v>45873.428389999994</v>
      </c>
      <c r="F501" s="387">
        <f t="shared" si="162"/>
        <v>476.27216999999655</v>
      </c>
      <c r="G501" s="388">
        <f t="shared" si="163"/>
        <v>1.0491233585027349E-2</v>
      </c>
      <c r="H501" s="387">
        <f t="shared" si="149"/>
        <v>23017.578389999995</v>
      </c>
      <c r="I501" s="388">
        <f t="shared" si="150"/>
        <v>1.0070760172997284</v>
      </c>
      <c r="L501" s="369">
        <v>1521.38</v>
      </c>
      <c r="M501" s="394">
        <f t="shared" si="172"/>
        <v>7.9436063575351046E-3</v>
      </c>
      <c r="N501" s="394">
        <f t="shared" si="173"/>
        <v>0.63575176328917937</v>
      </c>
      <c r="O501" s="395" t="str">
        <f t="shared" si="135"/>
        <v>Yes</v>
      </c>
      <c r="P501" s="396">
        <f t="shared" ref="P501" si="178">IF(O501="Yes",1,0)</f>
        <v>1</v>
      </c>
      <c r="Q501" s="394">
        <f>SUM($P$4:P501)/COUNT($P$4:P501)</f>
        <v>0.54216867469879515</v>
      </c>
      <c r="S501" s="369">
        <v>13973.39</v>
      </c>
      <c r="T501" s="394">
        <f t="shared" si="175"/>
        <v>2.1041232640446328E-3</v>
      </c>
      <c r="U501" s="394">
        <f t="shared" si="176"/>
        <v>0.62809169163944123</v>
      </c>
      <c r="V501" s="395" t="str">
        <f t="shared" si="146"/>
        <v>Yes</v>
      </c>
      <c r="W501" s="396">
        <f t="shared" si="154"/>
        <v>1</v>
      </c>
      <c r="X501" s="394">
        <f>SUM($W$478:W501)/COUNT($W$478:W501)</f>
        <v>0.70833333333333337</v>
      </c>
    </row>
    <row r="502" spans="1:24" x14ac:dyDescent="0.15">
      <c r="A502" s="384">
        <f t="shared" si="136"/>
        <v>500</v>
      </c>
      <c r="B502" s="401">
        <f t="shared" si="140"/>
        <v>41326</v>
      </c>
      <c r="D502" s="390">
        <v>45168.442880000002</v>
      </c>
      <c r="E502" s="387">
        <v>45168.442880000002</v>
      </c>
      <c r="F502" s="387">
        <f t="shared" si="162"/>
        <v>-704.98550999999134</v>
      </c>
      <c r="G502" s="388">
        <f t="shared" si="163"/>
        <v>-1.536805804018937E-2</v>
      </c>
      <c r="H502" s="387">
        <f t="shared" si="149"/>
        <v>22312.592880000004</v>
      </c>
      <c r="I502" s="388">
        <f t="shared" si="150"/>
        <v>0.97623115657479409</v>
      </c>
      <c r="L502" s="369">
        <v>1502.42</v>
      </c>
      <c r="M502" s="394">
        <f t="shared" si="172"/>
        <v>-1.2462369690675601E-2</v>
      </c>
      <c r="N502" s="394">
        <f t="shared" si="173"/>
        <v>0.61536642009289522</v>
      </c>
      <c r="O502" s="395" t="str">
        <f t="shared" si="135"/>
        <v>No</v>
      </c>
      <c r="P502" s="396">
        <f t="shared" ref="P502" si="179">IF(O502="Yes",1,0)</f>
        <v>0</v>
      </c>
      <c r="Q502" s="394">
        <f>SUM($P$4:P502)/COUNT($P$4:P502)</f>
        <v>0.5410821643286573</v>
      </c>
      <c r="S502" s="369">
        <v>13880.62</v>
      </c>
      <c r="T502" s="394">
        <f t="shared" si="175"/>
        <v>-6.6390475038625718E-3</v>
      </c>
      <c r="U502" s="394">
        <f t="shared" si="176"/>
        <v>0.61728271355800279</v>
      </c>
      <c r="V502" s="395" t="str">
        <f t="shared" si="146"/>
        <v>No</v>
      </c>
      <c r="W502" s="396">
        <f t="shared" si="154"/>
        <v>0</v>
      </c>
      <c r="X502" s="394">
        <f>SUM($W$478:W502)/COUNT($W$478:W502)</f>
        <v>0.68</v>
      </c>
    </row>
    <row r="503" spans="1:24" x14ac:dyDescent="0.15">
      <c r="A503" s="384">
        <f t="shared" si="136"/>
        <v>501</v>
      </c>
      <c r="B503" s="401">
        <f t="shared" si="140"/>
        <v>41333</v>
      </c>
      <c r="D503" s="390">
        <v>45214.908349999991</v>
      </c>
      <c r="E503" s="387">
        <v>45214.908349999991</v>
      </c>
      <c r="F503" s="387">
        <f t="shared" si="162"/>
        <v>46.465469999988272</v>
      </c>
      <c r="G503" s="388">
        <f t="shared" si="163"/>
        <v>1.0287153383488068E-3</v>
      </c>
      <c r="H503" s="387">
        <f t="shared" si="149"/>
        <v>22359.058349999992</v>
      </c>
      <c r="I503" s="388">
        <f t="shared" si="150"/>
        <v>0.97826413587768535</v>
      </c>
      <c r="L503" s="369">
        <v>1514.68</v>
      </c>
      <c r="M503" s="394">
        <f t="shared" si="172"/>
        <v>8.160168261870826E-3</v>
      </c>
      <c r="N503" s="394">
        <f t="shared" si="173"/>
        <v>0.62854808188542921</v>
      </c>
      <c r="O503" s="395" t="str">
        <f t="shared" si="135"/>
        <v>No</v>
      </c>
      <c r="P503" s="396">
        <f t="shared" ref="P503" si="180">IF(O503="Yes",1,0)</f>
        <v>0</v>
      </c>
      <c r="Q503" s="394">
        <f>SUM($P$4:P503)/COUNT($P$4:P503)</f>
        <v>0.54</v>
      </c>
      <c r="S503" s="369">
        <v>14054.49</v>
      </c>
      <c r="T503" s="394">
        <f t="shared" si="175"/>
        <v>1.2526097537429726E-2</v>
      </c>
      <c r="U503" s="394">
        <f t="shared" si="176"/>
        <v>0.63754095457362969</v>
      </c>
      <c r="V503" s="395" t="str">
        <f t="shared" si="146"/>
        <v>No</v>
      </c>
      <c r="W503" s="396">
        <f t="shared" si="154"/>
        <v>0</v>
      </c>
      <c r="X503" s="394">
        <f>SUM($W$478:W503)/COUNT($W$478:W503)</f>
        <v>0.65384615384615385</v>
      </c>
    </row>
    <row r="504" spans="1:24" x14ac:dyDescent="0.15">
      <c r="A504" s="384">
        <f t="shared" si="136"/>
        <v>502</v>
      </c>
      <c r="B504" s="401">
        <f t="shared" si="140"/>
        <v>41340</v>
      </c>
      <c r="D504" s="390">
        <v>45908.160049999999</v>
      </c>
      <c r="E504" s="387">
        <v>45908.160049999999</v>
      </c>
      <c r="F504" s="387">
        <f t="shared" si="162"/>
        <v>693.25170000000799</v>
      </c>
      <c r="G504" s="388">
        <f t="shared" si="163"/>
        <v>1.5332369904051957E-2</v>
      </c>
      <c r="H504" s="387">
        <f t="shared" si="149"/>
        <v>23052.31005</v>
      </c>
      <c r="I504" s="388">
        <f t="shared" si="150"/>
        <v>1.0085956133768819</v>
      </c>
      <c r="L504" s="369">
        <v>1544.26</v>
      </c>
      <c r="M504" s="394">
        <f t="shared" si="172"/>
        <v>1.9528877386642662E-2</v>
      </c>
      <c r="N504" s="394">
        <f t="shared" si="173"/>
        <v>0.66035179769482188</v>
      </c>
      <c r="O504" s="395" t="str">
        <f t="shared" si="135"/>
        <v>No</v>
      </c>
      <c r="P504" s="396">
        <f t="shared" ref="P504" si="181">IF(O504="Yes",1,0)</f>
        <v>0</v>
      </c>
      <c r="Q504" s="394">
        <f>SUM($P$4:P504)/COUNT($P$4:P504)</f>
        <v>0.53892215568862278</v>
      </c>
      <c r="S504" s="369">
        <v>14329.49</v>
      </c>
      <c r="T504" s="394">
        <f t="shared" si="175"/>
        <v>1.9566700748301802E-2</v>
      </c>
      <c r="U504" s="394">
        <f t="shared" si="176"/>
        <v>0.66958222839486026</v>
      </c>
      <c r="V504" s="395" t="str">
        <f t="shared" si="146"/>
        <v>No</v>
      </c>
      <c r="W504" s="396">
        <f t="shared" si="154"/>
        <v>0</v>
      </c>
      <c r="X504" s="394">
        <f>SUM($W$478:W504)/COUNT($W$478:W504)</f>
        <v>0.62962962962962965</v>
      </c>
    </row>
    <row r="505" spans="1:24" x14ac:dyDescent="0.15">
      <c r="A505" s="384">
        <f t="shared" si="136"/>
        <v>503</v>
      </c>
      <c r="B505" s="401">
        <f t="shared" si="140"/>
        <v>41347</v>
      </c>
      <c r="D505" s="390">
        <v>46499.591789999999</v>
      </c>
      <c r="E505" s="387">
        <v>46499.591789999999</v>
      </c>
      <c r="F505" s="387">
        <f t="shared" si="162"/>
        <v>591.43173999999999</v>
      </c>
      <c r="G505" s="388">
        <f t="shared" si="163"/>
        <v>1.2882932780487355E-2</v>
      </c>
      <c r="H505" s="387">
        <f t="shared" si="149"/>
        <v>23643.74179</v>
      </c>
      <c r="I505" s="388">
        <f t="shared" si="150"/>
        <v>1.0344722156471975</v>
      </c>
      <c r="L505" s="369">
        <v>1563.23</v>
      </c>
      <c r="M505" s="394">
        <f t="shared" si="172"/>
        <v>1.2284200847007654E-2</v>
      </c>
      <c r="N505" s="394">
        <f t="shared" si="173"/>
        <v>0.68074789265439528</v>
      </c>
      <c r="O505" s="395" t="str">
        <f t="shared" si="135"/>
        <v>Yes</v>
      </c>
      <c r="P505" s="396">
        <f t="shared" ref="P505" si="182">IF(O505="Yes",1,0)</f>
        <v>1</v>
      </c>
      <c r="Q505" s="394">
        <f>SUM($P$4:P505)/COUNT($P$4:P505)</f>
        <v>0.53984063745019917</v>
      </c>
      <c r="S505" s="369">
        <v>14539.14</v>
      </c>
      <c r="T505" s="394">
        <f t="shared" si="175"/>
        <v>1.4630667246356976E-2</v>
      </c>
      <c r="U505" s="394">
        <f t="shared" si="176"/>
        <v>0.69400933041893653</v>
      </c>
      <c r="V505" s="395" t="str">
        <f t="shared" si="146"/>
        <v>No</v>
      </c>
      <c r="W505" s="396">
        <f t="shared" si="154"/>
        <v>0</v>
      </c>
      <c r="X505" s="394">
        <f>SUM($W$478:W505)/COUNT($W$478:W505)</f>
        <v>0.6071428571428571</v>
      </c>
    </row>
    <row r="506" spans="1:24" x14ac:dyDescent="0.15">
      <c r="A506" s="384">
        <f t="shared" si="136"/>
        <v>504</v>
      </c>
      <c r="B506" s="401">
        <f t="shared" si="140"/>
        <v>41354</v>
      </c>
      <c r="D506" s="390">
        <v>46154.520150000004</v>
      </c>
      <c r="E506" s="387">
        <v>46154.520150000004</v>
      </c>
      <c r="F506" s="387">
        <f t="shared" si="162"/>
        <v>-345.07163999999466</v>
      </c>
      <c r="G506" s="388">
        <f t="shared" si="163"/>
        <v>-7.4209606303297093E-3</v>
      </c>
      <c r="H506" s="387">
        <f t="shared" si="149"/>
        <v>23298.670150000005</v>
      </c>
      <c r="I506" s="388">
        <f t="shared" si="150"/>
        <v>1.0193744774313802</v>
      </c>
      <c r="L506" s="369">
        <v>1545.8</v>
      </c>
      <c r="M506" s="394">
        <f t="shared" ref="M506:M512" si="183">(L506/L505)-1</f>
        <v>-1.1149990724333647E-2</v>
      </c>
      <c r="N506" s="394">
        <f t="shared" ref="N506:N512" si="184">(L506/$L$3)-1</f>
        <v>0.6620075692413554</v>
      </c>
      <c r="O506" s="395" t="str">
        <f t="shared" si="135"/>
        <v>Yes</v>
      </c>
      <c r="P506" s="396">
        <f t="shared" ref="P506" si="185">IF(O506="Yes",1,0)</f>
        <v>1</v>
      </c>
      <c r="Q506" s="394">
        <f>SUM($P$4:P506)/COUNT($P$4:P506)</f>
        <v>0.54075546719681911</v>
      </c>
      <c r="S506" s="369">
        <v>14421.49</v>
      </c>
      <c r="T506" s="394">
        <f t="shared" ref="T506" si="186">(S506/S505)-1</f>
        <v>-8.0919504179751689E-3</v>
      </c>
      <c r="U506" s="394">
        <f t="shared" ref="U506" si="187">(S506/$S$3)-1</f>
        <v>0.68030149090959924</v>
      </c>
      <c r="V506" s="395" t="str">
        <f t="shared" si="146"/>
        <v>Yes</v>
      </c>
      <c r="W506" s="396">
        <f t="shared" si="154"/>
        <v>1</v>
      </c>
      <c r="X506" s="394">
        <f>SUM($W$478:W506)/COUNT($W$478:W506)</f>
        <v>0.62068965517241381</v>
      </c>
    </row>
    <row r="507" spans="1:24" x14ac:dyDescent="0.15">
      <c r="A507" s="384">
        <f t="shared" si="136"/>
        <v>505</v>
      </c>
      <c r="B507" s="401">
        <f t="shared" si="140"/>
        <v>41361</v>
      </c>
      <c r="D507" s="390">
        <v>46602.26</v>
      </c>
      <c r="E507" s="387">
        <v>46602.26</v>
      </c>
      <c r="F507" s="387">
        <f t="shared" si="162"/>
        <v>447.73984999999811</v>
      </c>
      <c r="G507" s="388">
        <f t="shared" si="163"/>
        <v>9.7008884188345412E-3</v>
      </c>
      <c r="H507" s="387">
        <f t="shared" si="149"/>
        <v>23746.410000000003</v>
      </c>
      <c r="I507" s="388">
        <f t="shared" si="150"/>
        <v>1.038964203912784</v>
      </c>
      <c r="L507" s="369">
        <v>1569.19</v>
      </c>
      <c r="M507" s="394">
        <f t="shared" si="183"/>
        <v>1.5131323586492496E-2</v>
      </c>
      <c r="N507" s="394">
        <f t="shared" si="184"/>
        <v>0.6871559435747463</v>
      </c>
      <c r="O507" s="395" t="str">
        <f t="shared" si="135"/>
        <v>No</v>
      </c>
      <c r="P507" s="396">
        <f t="shared" ref="P507:P508" si="188">IF(O507="Yes",1,0)</f>
        <v>0</v>
      </c>
      <c r="Q507" s="394">
        <f>SUM($P$4:P507)/COUNT($P$4:P507)</f>
        <v>0.53968253968253965</v>
      </c>
      <c r="S507" s="369">
        <v>14578.54</v>
      </c>
      <c r="T507" s="394">
        <f t="shared" ref="T507:T512" si="189">(S507/S506)-1</f>
        <v>1.0889998190200867E-2</v>
      </c>
      <c r="U507" s="394">
        <f t="shared" ref="U507:U512" si="190">(S507/$S$3)-1</f>
        <v>0.69859997110459671</v>
      </c>
      <c r="V507" s="395" t="str">
        <f t="shared" si="146"/>
        <v>No</v>
      </c>
      <c r="W507" s="396">
        <f t="shared" si="154"/>
        <v>0</v>
      </c>
      <c r="X507" s="394">
        <f>SUM($W$478:W507)/COUNT($W$478:W507)</f>
        <v>0.6</v>
      </c>
    </row>
    <row r="508" spans="1:24" x14ac:dyDescent="0.15">
      <c r="A508" s="384">
        <f t="shared" si="136"/>
        <v>506</v>
      </c>
      <c r="B508" s="401">
        <f t="shared" si="140"/>
        <v>41368</v>
      </c>
      <c r="D508" s="390">
        <v>45634.816179999994</v>
      </c>
      <c r="E508" s="387">
        <v>45634.816179999994</v>
      </c>
      <c r="F508" s="387">
        <f t="shared" si="162"/>
        <v>-967.44382000000769</v>
      </c>
      <c r="G508" s="388">
        <f t="shared" si="163"/>
        <v>-2.0759590200132072E-2</v>
      </c>
      <c r="H508" s="387">
        <f t="shared" si="149"/>
        <v>22778.966179999996</v>
      </c>
      <c r="I508" s="388">
        <f t="shared" si="150"/>
        <v>0.99663614260681599</v>
      </c>
      <c r="L508" s="369">
        <v>1559.98</v>
      </c>
      <c r="M508" s="394">
        <f t="shared" si="183"/>
        <v>-5.8692701329985386E-3</v>
      </c>
      <c r="N508" s="394">
        <f t="shared" si="184"/>
        <v>0.67725356958541205</v>
      </c>
      <c r="O508" s="395" t="str">
        <f t="shared" si="135"/>
        <v>No</v>
      </c>
      <c r="P508" s="396">
        <f t="shared" si="188"/>
        <v>0</v>
      </c>
      <c r="Q508" s="394">
        <f>SUM($P$4:P508)/COUNT($P$4:P508)</f>
        <v>0.53861386138613865</v>
      </c>
      <c r="S508" s="369">
        <v>14606.11</v>
      </c>
      <c r="T508" s="394">
        <f t="shared" si="189"/>
        <v>1.8911358750601792E-3</v>
      </c>
      <c r="U508" s="394">
        <f t="shared" si="190"/>
        <v>0.70181225444732886</v>
      </c>
      <c r="V508" s="395" t="str">
        <f t="shared" si="146"/>
        <v>No</v>
      </c>
      <c r="W508" s="396">
        <f t="shared" si="154"/>
        <v>0</v>
      </c>
      <c r="X508" s="394">
        <f>SUM($W$478:W508)/COUNT($W$478:W508)</f>
        <v>0.58064516129032262</v>
      </c>
    </row>
    <row r="509" spans="1:24" x14ac:dyDescent="0.15">
      <c r="A509" s="384">
        <f t="shared" si="136"/>
        <v>507</v>
      </c>
      <c r="B509" s="401">
        <f t="shared" si="140"/>
        <v>41375</v>
      </c>
      <c r="D509" s="390">
        <v>46552.753780000006</v>
      </c>
      <c r="E509" s="387">
        <v>46552.753780000006</v>
      </c>
      <c r="F509" s="387">
        <f t="shared" si="162"/>
        <v>917.93760000001203</v>
      </c>
      <c r="G509" s="388">
        <f t="shared" si="163"/>
        <v>2.0114852580523923E-2</v>
      </c>
      <c r="H509" s="387">
        <f t="shared" si="149"/>
        <v>23696.903780000008</v>
      </c>
      <c r="I509" s="388">
        <f t="shared" si="150"/>
        <v>1.0367981842722984</v>
      </c>
      <c r="L509" s="369">
        <v>1593.37</v>
      </c>
      <c r="M509" s="394">
        <f t="shared" si="183"/>
        <v>2.140412056564811E-2</v>
      </c>
      <c r="N509" s="394">
        <f t="shared" si="184"/>
        <v>0.71315370720798188</v>
      </c>
      <c r="O509" s="395" t="str">
        <f t="shared" si="135"/>
        <v>No</v>
      </c>
      <c r="P509" s="396">
        <f t="shared" ref="P509" si="191">IF(O509="Yes",1,0)</f>
        <v>0</v>
      </c>
      <c r="Q509" s="394">
        <f>SUM($P$4:P509)/COUNT($P$4:P509)</f>
        <v>0.53754940711462451</v>
      </c>
      <c r="S509" s="369">
        <v>14865.14</v>
      </c>
      <c r="T509" s="394">
        <f t="shared" si="189"/>
        <v>1.7734359114096598E-2</v>
      </c>
      <c r="U509" s="394">
        <f t="shared" si="190"/>
        <v>0.73199280411246814</v>
      </c>
      <c r="V509" s="395" t="str">
        <f t="shared" si="146"/>
        <v>Yes</v>
      </c>
      <c r="W509" s="396">
        <f t="shared" si="154"/>
        <v>1</v>
      </c>
      <c r="X509" s="394">
        <f>SUM($W$478:W509)/COUNT($W$478:W509)</f>
        <v>0.59375</v>
      </c>
    </row>
    <row r="510" spans="1:24" x14ac:dyDescent="0.15">
      <c r="A510" s="384">
        <f t="shared" si="136"/>
        <v>508</v>
      </c>
      <c r="B510" s="401">
        <f t="shared" si="140"/>
        <v>41382</v>
      </c>
      <c r="D510" s="390">
        <v>45013.575560000005</v>
      </c>
      <c r="E510" s="387">
        <v>45013.575560000005</v>
      </c>
      <c r="F510" s="387">
        <f t="shared" si="162"/>
        <v>-1539.1782200000016</v>
      </c>
      <c r="G510" s="388">
        <f t="shared" si="163"/>
        <v>-3.3063097132210117E-2</v>
      </c>
      <c r="H510" s="387">
        <f t="shared" si="149"/>
        <v>22157.725560000006</v>
      </c>
      <c r="I510" s="388">
        <f t="shared" si="150"/>
        <v>0.96945532806699419</v>
      </c>
      <c r="L510" s="369">
        <v>1541.61</v>
      </c>
      <c r="M510" s="394">
        <f t="shared" si="183"/>
        <v>-3.2484608094792811E-2</v>
      </c>
      <c r="N510" s="394">
        <f t="shared" si="184"/>
        <v>0.65750258042318932</v>
      </c>
      <c r="O510" s="395" t="str">
        <f t="shared" si="135"/>
        <v>No</v>
      </c>
      <c r="P510" s="396">
        <f t="shared" ref="P510" si="192">IF(O510="Yes",1,0)</f>
        <v>0</v>
      </c>
      <c r="Q510" s="394">
        <f>SUM($P$4:P510)/COUNT($P$4:P510)</f>
        <v>0.53648915187376722</v>
      </c>
      <c r="S510" s="369">
        <v>14537.14</v>
      </c>
      <c r="T510" s="394">
        <f t="shared" si="189"/>
        <v>-2.2065046141509614E-2</v>
      </c>
      <c r="U510" s="394">
        <f t="shared" si="190"/>
        <v>0.693776302972964</v>
      </c>
      <c r="V510" s="395" t="str">
        <f t="shared" ref="V510:V538" si="193">IF(G510&gt;T510,"Yes","No")</f>
        <v>No</v>
      </c>
      <c r="W510" s="396">
        <f t="shared" si="154"/>
        <v>0</v>
      </c>
      <c r="X510" s="394">
        <f>SUM($W$478:W510)/COUNT($W$478:W510)</f>
        <v>0.5757575757575758</v>
      </c>
    </row>
    <row r="511" spans="1:24" x14ac:dyDescent="0.15">
      <c r="A511" s="384">
        <f t="shared" si="136"/>
        <v>509</v>
      </c>
      <c r="B511" s="401">
        <f t="shared" si="140"/>
        <v>41389</v>
      </c>
      <c r="D511" s="390">
        <v>46519.793840000006</v>
      </c>
      <c r="E511" s="387">
        <v>46519.793840000006</v>
      </c>
      <c r="F511" s="387">
        <f t="shared" si="162"/>
        <v>1506.218280000001</v>
      </c>
      <c r="G511" s="388">
        <f t="shared" si="163"/>
        <v>3.3461422721070333E-2</v>
      </c>
      <c r="H511" s="387">
        <f t="shared" si="149"/>
        <v>23663.943840000007</v>
      </c>
      <c r="I511" s="388">
        <f t="shared" si="150"/>
        <v>1.0353561053297082</v>
      </c>
      <c r="L511" s="369">
        <v>1585.16</v>
      </c>
      <c r="M511" s="394">
        <f t="shared" si="183"/>
        <v>2.8249687015522884E-2</v>
      </c>
      <c r="N511" s="394">
        <f t="shared" si="184"/>
        <v>0.7043265095475657</v>
      </c>
      <c r="O511" s="395" t="str">
        <f t="shared" si="135"/>
        <v>Yes</v>
      </c>
      <c r="P511" s="396">
        <f t="shared" ref="P511" si="194">IF(O511="Yes",1,0)</f>
        <v>1</v>
      </c>
      <c r="Q511" s="394">
        <f>SUM($P$4:P511)/COUNT($P$4:P511)</f>
        <v>0.53740157480314965</v>
      </c>
      <c r="S511" s="369">
        <v>14700.8</v>
      </c>
      <c r="T511" s="394">
        <f t="shared" si="189"/>
        <v>1.1258060388769753E-2</v>
      </c>
      <c r="U511" s="394">
        <f t="shared" si="190"/>
        <v>0.7128449388769007</v>
      </c>
      <c r="V511" s="395" t="str">
        <f t="shared" si="193"/>
        <v>Yes</v>
      </c>
      <c r="W511" s="396">
        <f t="shared" si="154"/>
        <v>1</v>
      </c>
      <c r="X511" s="394">
        <f>SUM($W$478:W511)/COUNT($W$478:W511)</f>
        <v>0.58823529411764708</v>
      </c>
    </row>
    <row r="512" spans="1:24" x14ac:dyDescent="0.15">
      <c r="A512" s="384">
        <f t="shared" si="136"/>
        <v>510</v>
      </c>
      <c r="B512" s="401">
        <f t="shared" si="140"/>
        <v>41396</v>
      </c>
      <c r="D512" s="390">
        <v>47024.077540000006</v>
      </c>
      <c r="E512" s="387">
        <v>47024.077540000006</v>
      </c>
      <c r="F512" s="387">
        <f t="shared" si="162"/>
        <v>504.28369999999995</v>
      </c>
      <c r="G512" s="388">
        <f t="shared" si="163"/>
        <v>1.084019636317457E-2</v>
      </c>
      <c r="H512" s="387">
        <f t="shared" si="149"/>
        <v>24168.227540000007</v>
      </c>
      <c r="I512" s="388">
        <f t="shared" si="150"/>
        <v>1.0574197651804682</v>
      </c>
      <c r="L512" s="369">
        <v>1597.59</v>
      </c>
      <c r="M512" s="394">
        <f t="shared" si="183"/>
        <v>7.8414797244441559E-3</v>
      </c>
      <c r="N512" s="394">
        <f t="shared" si="184"/>
        <v>0.71769095131601568</v>
      </c>
      <c r="O512" s="395" t="str">
        <f t="shared" si="135"/>
        <v>Yes</v>
      </c>
      <c r="P512" s="396">
        <f t="shared" ref="P512" si="195">IF(O512="Yes",1,0)</f>
        <v>1</v>
      </c>
      <c r="Q512" s="394">
        <f>SUM($P$4:P512)/COUNT($P$4:P512)</f>
        <v>0.53831041257367385</v>
      </c>
      <c r="S512" s="369">
        <v>14831.58</v>
      </c>
      <c r="T512" s="394">
        <f t="shared" si="189"/>
        <v>8.8961144971702044E-3</v>
      </c>
      <c r="U512" s="394">
        <f t="shared" si="190"/>
        <v>0.72808260356904819</v>
      </c>
      <c r="V512" s="395" t="str">
        <f t="shared" si="193"/>
        <v>Yes</v>
      </c>
      <c r="W512" s="396">
        <f t="shared" si="154"/>
        <v>1</v>
      </c>
      <c r="X512" s="394">
        <f>SUM($W$478:W512)/COUNT($W$478:W512)</f>
        <v>0.6</v>
      </c>
    </row>
    <row r="513" spans="1:24" x14ac:dyDescent="0.15">
      <c r="A513" s="384">
        <f t="shared" si="136"/>
        <v>511</v>
      </c>
      <c r="B513" s="401">
        <f t="shared" si="140"/>
        <v>41403</v>
      </c>
      <c r="D513" s="390">
        <v>49302.942459999998</v>
      </c>
      <c r="E513" s="387">
        <v>49302.942459999998</v>
      </c>
      <c r="F513" s="387">
        <f t="shared" si="162"/>
        <v>2278.8649199999927</v>
      </c>
      <c r="G513" s="388">
        <f t="shared" si="163"/>
        <v>4.8461661327891647E-2</v>
      </c>
      <c r="H513" s="387">
        <f t="shared" si="149"/>
        <v>26447.09246</v>
      </c>
      <c r="I513" s="388">
        <f t="shared" si="150"/>
        <v>1.1571257450499544</v>
      </c>
      <c r="L513" s="369">
        <v>1626.67</v>
      </c>
      <c r="M513" s="394">
        <f t="shared" ref="M513:M515" si="196">(L513/L512)-1</f>
        <v>1.8202417391195658E-2</v>
      </c>
      <c r="N513" s="394">
        <f t="shared" ref="N513:N515" si="197">(L513/$L$3)-1</f>
        <v>0.74895707896094965</v>
      </c>
      <c r="O513" s="395" t="str">
        <f t="shared" si="135"/>
        <v>Yes</v>
      </c>
      <c r="P513" s="396">
        <f t="shared" ref="P513" si="198">IF(O513="Yes",1,0)</f>
        <v>1</v>
      </c>
      <c r="Q513" s="394">
        <f>SUM($P$4:P513)/COUNT($P$4:P513)</f>
        <v>0.53921568627450978</v>
      </c>
      <c r="S513" s="369">
        <v>15082.62</v>
      </c>
      <c r="T513" s="394">
        <f t="shared" ref="T513:T515" si="199">(S513/S512)-1</f>
        <v>1.6926045640450971E-2</v>
      </c>
      <c r="U513" s="394">
        <f t="shared" ref="U513:U515" si="200">(S513/$S$3)-1</f>
        <v>0.75733220858752737</v>
      </c>
      <c r="V513" s="395" t="str">
        <f t="shared" si="193"/>
        <v>Yes</v>
      </c>
      <c r="W513" s="396">
        <f t="shared" si="154"/>
        <v>1</v>
      </c>
      <c r="X513" s="394">
        <f>SUM($W$478:W513)/COUNT($W$478:W513)</f>
        <v>0.61111111111111116</v>
      </c>
    </row>
    <row r="514" spans="1:24" x14ac:dyDescent="0.15">
      <c r="A514" s="384">
        <f t="shared" si="136"/>
        <v>512</v>
      </c>
      <c r="B514" s="401">
        <f t="shared" si="140"/>
        <v>41410</v>
      </c>
      <c r="D514" s="390">
        <v>51476.929619999995</v>
      </c>
      <c r="E514" s="387">
        <v>51476.929619999995</v>
      </c>
      <c r="F514" s="387">
        <f t="shared" si="162"/>
        <v>2173.9871599999969</v>
      </c>
      <c r="G514" s="388">
        <f t="shared" si="163"/>
        <v>4.4094470867814373E-2</v>
      </c>
      <c r="H514" s="387">
        <f t="shared" si="149"/>
        <v>28621.079619999997</v>
      </c>
      <c r="I514" s="388">
        <f t="shared" si="150"/>
        <v>1.252243063373272</v>
      </c>
      <c r="L514" s="369">
        <v>1650.47</v>
      </c>
      <c r="M514" s="394">
        <f t="shared" si="196"/>
        <v>1.4631117559185336E-2</v>
      </c>
      <c r="N514" s="394">
        <f t="shared" si="197"/>
        <v>0.77454627558919653</v>
      </c>
      <c r="O514" s="395" t="str">
        <f t="shared" si="135"/>
        <v>Yes</v>
      </c>
      <c r="P514" s="396">
        <f t="shared" ref="P514" si="201">IF(O514="Yes",1,0)</f>
        <v>1</v>
      </c>
      <c r="Q514" s="394">
        <f>SUM($P$4:P514)/COUNT($P$4:P514)</f>
        <v>0.54011741682974557</v>
      </c>
      <c r="S514" s="369">
        <v>15233.22</v>
      </c>
      <c r="T514" s="394">
        <f t="shared" si="199"/>
        <v>9.9850026056480523E-3</v>
      </c>
      <c r="U514" s="394">
        <f t="shared" si="200"/>
        <v>0.77487917526926298</v>
      </c>
      <c r="V514" s="395" t="str">
        <f t="shared" si="193"/>
        <v>Yes</v>
      </c>
      <c r="W514" s="396">
        <f t="shared" si="154"/>
        <v>1</v>
      </c>
      <c r="X514" s="394">
        <f>SUM($W$478:W514)/COUNT($W$478:W514)</f>
        <v>0.6216216216216216</v>
      </c>
    </row>
    <row r="515" spans="1:24" x14ac:dyDescent="0.15">
      <c r="A515" s="384">
        <f t="shared" si="136"/>
        <v>513</v>
      </c>
      <c r="B515" s="401">
        <f t="shared" si="140"/>
        <v>41417</v>
      </c>
      <c r="D515" s="390">
        <v>51524.299709999999</v>
      </c>
      <c r="E515" s="387">
        <v>51524.299709999999</v>
      </c>
      <c r="F515" s="387">
        <f t="shared" si="162"/>
        <v>47.370090000003984</v>
      </c>
      <c r="G515" s="388">
        <f t="shared" si="163"/>
        <v>9.2021980234036072E-4</v>
      </c>
      <c r="H515" s="387">
        <f t="shared" si="149"/>
        <v>28668.449710000001</v>
      </c>
      <c r="I515" s="388">
        <f t="shared" si="150"/>
        <v>1.2543156220398717</v>
      </c>
      <c r="L515" s="369">
        <v>1650.51</v>
      </c>
      <c r="M515" s="394">
        <f t="shared" si="196"/>
        <v>2.4235520791116016E-5</v>
      </c>
      <c r="N515" s="394">
        <f t="shared" si="197"/>
        <v>0.77458928264235327</v>
      </c>
      <c r="O515" s="395" t="str">
        <f t="shared" si="135"/>
        <v>Yes</v>
      </c>
      <c r="P515" s="396">
        <f t="shared" ref="P515" si="202">IF(O515="Yes",1,0)</f>
        <v>1</v>
      </c>
      <c r="Q515" s="394">
        <f>SUM($P$4:P515)/COUNT($P$4:P515)</f>
        <v>0.541015625</v>
      </c>
      <c r="S515" s="369">
        <v>15294.5</v>
      </c>
      <c r="T515" s="394">
        <f t="shared" si="199"/>
        <v>4.0227870404287991E-3</v>
      </c>
      <c r="U515" s="394">
        <f t="shared" si="200"/>
        <v>0.7820191362138631</v>
      </c>
      <c r="V515" s="395" t="str">
        <f t="shared" si="193"/>
        <v>No</v>
      </c>
      <c r="W515" s="396">
        <f t="shared" si="154"/>
        <v>0</v>
      </c>
      <c r="X515" s="394">
        <f>SUM($W$478:W515)/COUNT($W$478:W515)</f>
        <v>0.60526315789473684</v>
      </c>
    </row>
    <row r="516" spans="1:24" x14ac:dyDescent="0.15">
      <c r="A516" s="384">
        <f t="shared" si="136"/>
        <v>514</v>
      </c>
      <c r="B516" s="401">
        <f t="shared" si="140"/>
        <v>41424</v>
      </c>
      <c r="D516" s="390">
        <v>51715.413349999995</v>
      </c>
      <c r="E516" s="387">
        <v>51715.413349999995</v>
      </c>
      <c r="F516" s="387">
        <f t="shared" si="162"/>
        <v>191.11363999999594</v>
      </c>
      <c r="G516" s="388">
        <f t="shared" si="163"/>
        <v>3.7091943233709124E-3</v>
      </c>
      <c r="H516" s="387">
        <f t="shared" si="149"/>
        <v>28859.563349999997</v>
      </c>
      <c r="I516" s="388">
        <f t="shared" si="150"/>
        <v>1.2626773167482286</v>
      </c>
      <c r="L516" s="369">
        <v>1654.41</v>
      </c>
      <c r="M516" s="394">
        <f t="shared" ref="M516:M519" si="203">(L516/L515)-1</f>
        <v>2.3629060108694144E-3</v>
      </c>
      <c r="N516" s="394">
        <f t="shared" ref="N516:N519" si="204">(L516/$L$3)-1</f>
        <v>0.77878247032513337</v>
      </c>
      <c r="O516" s="395" t="str">
        <f t="shared" ref="O516:O538" si="205">IF(G516&gt;M516,"Yes","No")</f>
        <v>Yes</v>
      </c>
      <c r="P516" s="396">
        <f t="shared" ref="P516" si="206">IF(O516="Yes",1,0)</f>
        <v>1</v>
      </c>
      <c r="Q516" s="394">
        <f>SUM($P$4:P516)/COUNT($P$4:P516)</f>
        <v>0.54191033138401556</v>
      </c>
      <c r="S516" s="369">
        <v>15324.53</v>
      </c>
      <c r="T516" s="394">
        <f t="shared" ref="T516" si="207">(S516/S515)-1</f>
        <v>1.9634509137271827E-3</v>
      </c>
      <c r="U516" s="394">
        <f t="shared" ref="U516" si="208">(S516/$S$3)-1</f>
        <v>0.78551804331514163</v>
      </c>
      <c r="V516" s="395" t="str">
        <f t="shared" si="193"/>
        <v>Yes</v>
      </c>
      <c r="W516" s="396">
        <f t="shared" si="154"/>
        <v>1</v>
      </c>
      <c r="X516" s="394">
        <f>SUM($W$478:W516)/COUNT($W$478:W516)</f>
        <v>0.61538461538461542</v>
      </c>
    </row>
    <row r="517" spans="1:24" x14ac:dyDescent="0.15">
      <c r="A517" s="384">
        <f t="shared" ref="A517:A580" si="209">A516+1</f>
        <v>515</v>
      </c>
      <c r="B517" s="401">
        <f t="shared" si="140"/>
        <v>41431</v>
      </c>
      <c r="D517" s="390">
        <v>50163.276700000009</v>
      </c>
      <c r="E517" s="387">
        <v>50163.276700000009</v>
      </c>
      <c r="F517" s="387">
        <f t="shared" si="162"/>
        <v>-1552.1366499999858</v>
      </c>
      <c r="G517" s="388">
        <f t="shared" si="163"/>
        <v>-3.0013037689468391E-2</v>
      </c>
      <c r="H517" s="387">
        <f t="shared" si="149"/>
        <v>27307.426700000011</v>
      </c>
      <c r="I517" s="388">
        <f t="shared" si="150"/>
        <v>1.1947674971615587</v>
      </c>
      <c r="L517" s="369">
        <v>1622.46</v>
      </c>
      <c r="M517" s="394">
        <f t="shared" si="203"/>
        <v>-1.9312020599488666E-2</v>
      </c>
      <c r="N517" s="394">
        <f t="shared" si="204"/>
        <v>0.74443058661620509</v>
      </c>
      <c r="O517" s="395" t="str">
        <f t="shared" si="205"/>
        <v>No</v>
      </c>
      <c r="P517" s="396">
        <f t="shared" ref="P517" si="210">IF(O517="Yes",1,0)</f>
        <v>0</v>
      </c>
      <c r="Q517" s="394">
        <f>SUM($P$4:P517)/COUNT($P$4:P517)</f>
        <v>0.54085603112840464</v>
      </c>
      <c r="S517" s="369">
        <v>15040.39</v>
      </c>
      <c r="T517" s="394">
        <f t="shared" ref="T517" si="211">(S517/S516)-1</f>
        <v>-1.8541514813178672E-2</v>
      </c>
      <c r="U517" s="394">
        <f t="shared" ref="U517" si="212">(S517/$S$3)-1</f>
        <v>0.75241183406581613</v>
      </c>
      <c r="V517" s="395" t="str">
        <f t="shared" si="193"/>
        <v>No</v>
      </c>
      <c r="W517" s="396">
        <f t="shared" si="154"/>
        <v>0</v>
      </c>
      <c r="X517" s="394">
        <f>SUM($W$478:W517)/COUNT($W$478:W517)</f>
        <v>0.6</v>
      </c>
    </row>
    <row r="518" spans="1:24" x14ac:dyDescent="0.15">
      <c r="A518" s="384">
        <f t="shared" si="209"/>
        <v>516</v>
      </c>
      <c r="B518" s="401">
        <f t="shared" si="140"/>
        <v>41438</v>
      </c>
      <c r="D518" s="390">
        <v>51169.509570000002</v>
      </c>
      <c r="E518" s="387">
        <v>51169.509570000002</v>
      </c>
      <c r="F518" s="387">
        <f t="shared" si="162"/>
        <v>1006.2328699999925</v>
      </c>
      <c r="G518" s="388">
        <f t="shared" si="163"/>
        <v>2.0059153552064446E-2</v>
      </c>
      <c r="H518" s="387">
        <f t="shared" si="149"/>
        <v>28313.659570000003</v>
      </c>
      <c r="I518" s="388">
        <f t="shared" si="150"/>
        <v>1.2387926753982024</v>
      </c>
      <c r="L518" s="369">
        <v>1636.36</v>
      </c>
      <c r="M518" s="394">
        <f t="shared" si="203"/>
        <v>8.5672374049281519E-3</v>
      </c>
      <c r="N518" s="394">
        <f t="shared" si="204"/>
        <v>0.75937553758816434</v>
      </c>
      <c r="O518" s="395" t="str">
        <f t="shared" si="205"/>
        <v>Yes</v>
      </c>
      <c r="P518" s="396">
        <f t="shared" ref="P518" si="213">IF(O518="Yes",1,0)</f>
        <v>1</v>
      </c>
      <c r="Q518" s="394">
        <f>SUM($P$4:P518)/COUNT($P$4:P518)</f>
        <v>0.54174757281553398</v>
      </c>
      <c r="S518" s="369">
        <v>15176.08</v>
      </c>
      <c r="T518" s="394">
        <f t="shared" ref="T518:T519" si="214">(S518/S517)-1</f>
        <v>9.0217075488070453E-3</v>
      </c>
      <c r="U518" s="394">
        <f t="shared" ref="U518:U519" si="215">(S518/$S$3)-1</f>
        <v>0.76822158113782635</v>
      </c>
      <c r="V518" s="395" t="str">
        <f t="shared" si="193"/>
        <v>Yes</v>
      </c>
      <c r="W518" s="396">
        <f t="shared" si="154"/>
        <v>1</v>
      </c>
      <c r="X518" s="394">
        <f>SUM($W$478:W518)/COUNT($W$478:W518)</f>
        <v>0.6097560975609756</v>
      </c>
    </row>
    <row r="519" spans="1:24" x14ac:dyDescent="0.15">
      <c r="A519" s="384">
        <f t="shared" si="209"/>
        <v>517</v>
      </c>
      <c r="B519" s="401">
        <f t="shared" si="140"/>
        <v>41445</v>
      </c>
      <c r="D519" s="390">
        <v>50605.351009999998</v>
      </c>
      <c r="E519" s="387">
        <v>50605.351009999998</v>
      </c>
      <c r="F519" s="387">
        <f t="shared" si="162"/>
        <v>-564.15856000000349</v>
      </c>
      <c r="G519" s="388">
        <f t="shared" si="163"/>
        <v>-1.1025287612503543E-2</v>
      </c>
      <c r="H519" s="387">
        <f t="shared" si="149"/>
        <v>27749.50101</v>
      </c>
      <c r="I519" s="388">
        <f t="shared" si="150"/>
        <v>1.2141093422471707</v>
      </c>
      <c r="L519" s="369">
        <v>1588.19</v>
      </c>
      <c r="M519" s="394">
        <f t="shared" si="203"/>
        <v>-2.9437287638416909E-2</v>
      </c>
      <c r="N519" s="394">
        <f t="shared" si="204"/>
        <v>0.70758429382418719</v>
      </c>
      <c r="O519" s="395" t="str">
        <f t="shared" si="205"/>
        <v>Yes</v>
      </c>
      <c r="P519" s="396">
        <f t="shared" ref="P519" si="216">IF(O519="Yes",1,0)</f>
        <v>1</v>
      </c>
      <c r="Q519" s="394">
        <f>SUM($P$4:P519)/COUNT($P$4:P519)</f>
        <v>0.54263565891472865</v>
      </c>
      <c r="S519" s="369">
        <v>14758.32</v>
      </c>
      <c r="T519" s="394">
        <f t="shared" si="214"/>
        <v>-2.7527530165892711E-2</v>
      </c>
      <c r="U519" s="394">
        <f t="shared" si="215"/>
        <v>0.71954680822307249</v>
      </c>
      <c r="V519" s="395" t="str">
        <f t="shared" si="193"/>
        <v>Yes</v>
      </c>
      <c r="W519" s="396">
        <f t="shared" si="154"/>
        <v>1</v>
      </c>
      <c r="X519" s="394">
        <f>SUM($W$478:W519)/COUNT($W$478:W519)</f>
        <v>0.61904761904761907</v>
      </c>
    </row>
    <row r="520" spans="1:24" x14ac:dyDescent="0.15">
      <c r="A520" s="384">
        <f t="shared" si="209"/>
        <v>518</v>
      </c>
      <c r="B520" s="401">
        <f t="shared" si="140"/>
        <v>41452</v>
      </c>
      <c r="D520" s="390">
        <v>52167.389090000004</v>
      </c>
      <c r="E520" s="387">
        <v>52167.389090000004</v>
      </c>
      <c r="F520" s="387">
        <f t="shared" si="162"/>
        <v>1562.0380800000057</v>
      </c>
      <c r="G520" s="388">
        <f t="shared" si="163"/>
        <v>3.0867053559046287E-2</v>
      </c>
      <c r="H520" s="387">
        <f t="shared" si="149"/>
        <v>29311.539090000006</v>
      </c>
      <c r="I520" s="388">
        <f t="shared" si="150"/>
        <v>1.2824523738998992</v>
      </c>
      <c r="L520" s="369">
        <v>1613.2</v>
      </c>
      <c r="M520" s="394">
        <f t="shared" ref="M520" si="217">(L520/L519)-1</f>
        <v>1.5747486132011934E-2</v>
      </c>
      <c r="N520" s="394">
        <f t="shared" ref="N520" si="218">(L520/$L$3)-1</f>
        <v>0.73447445381042487</v>
      </c>
      <c r="O520" s="395" t="str">
        <f t="shared" si="205"/>
        <v>Yes</v>
      </c>
      <c r="P520" s="396">
        <f t="shared" ref="P520" si="219">IF(O520="Yes",1,0)</f>
        <v>1</v>
      </c>
      <c r="Q520" s="394">
        <f>SUM($P$4:P520)/COUNT($P$4:P520)</f>
        <v>0.54352030947775631</v>
      </c>
      <c r="S520" s="369">
        <v>15024.49</v>
      </c>
      <c r="T520" s="394">
        <f t="shared" ref="T520:T521" si="220">(S520/S519)-1</f>
        <v>1.8035250624732324E-2</v>
      </c>
      <c r="U520" s="394">
        <f t="shared" ref="U520:U521" si="221">(S520/$S$3)-1</f>
        <v>0.75055926587033417</v>
      </c>
      <c r="V520" s="395" t="str">
        <f t="shared" si="193"/>
        <v>Yes</v>
      </c>
      <c r="W520" s="396">
        <f t="shared" si="154"/>
        <v>1</v>
      </c>
      <c r="X520" s="394">
        <f>SUM($W$478:W520)/COUNT($W$478:W520)</f>
        <v>0.62790697674418605</v>
      </c>
    </row>
    <row r="521" spans="1:24" x14ac:dyDescent="0.15">
      <c r="A521" s="384">
        <f t="shared" si="209"/>
        <v>519</v>
      </c>
      <c r="B521" s="401">
        <f t="shared" si="140"/>
        <v>41459</v>
      </c>
      <c r="D521" s="390">
        <v>52938.623689999993</v>
      </c>
      <c r="E521" s="387">
        <v>52938.623689999993</v>
      </c>
      <c r="F521" s="387">
        <f t="shared" si="162"/>
        <v>771.23459999998886</v>
      </c>
      <c r="G521" s="388">
        <f t="shared" si="163"/>
        <v>1.4783845108089277E-2</v>
      </c>
      <c r="H521" s="387">
        <f t="shared" si="149"/>
        <v>30082.773689999995</v>
      </c>
      <c r="I521" s="388">
        <f t="shared" si="150"/>
        <v>1.3161957962622259</v>
      </c>
      <c r="L521" s="369">
        <v>1615.41</v>
      </c>
      <c r="M521" s="394">
        <f t="shared" ref="M521" si="222">(L521/L520)-1</f>
        <v>1.3699479295810058E-3</v>
      </c>
      <c r="N521" s="394">
        <f t="shared" ref="N521" si="223">(L521/$L$3)-1</f>
        <v>0.73685059349733351</v>
      </c>
      <c r="O521" s="395" t="str">
        <f t="shared" si="205"/>
        <v>Yes</v>
      </c>
      <c r="P521" s="396">
        <f t="shared" ref="P521" si="224">IF(O521="Yes",1,0)</f>
        <v>1</v>
      </c>
      <c r="Q521" s="394">
        <f>SUM($P$4:P521)/COUNT($P$4:P521)</f>
        <v>0.54440154440154442</v>
      </c>
      <c r="S521" s="369">
        <v>14988.55</v>
      </c>
      <c r="T521" s="394">
        <f t="shared" si="220"/>
        <v>-2.3920945070349253E-3</v>
      </c>
      <c r="U521" s="394">
        <f t="shared" si="221"/>
        <v>0.74637176266620675</v>
      </c>
      <c r="V521" s="395" t="str">
        <f t="shared" si="193"/>
        <v>Yes</v>
      </c>
      <c r="W521" s="396">
        <f t="shared" ref="W521" si="225">IF(V521="Yes",1,0)</f>
        <v>1</v>
      </c>
      <c r="X521" s="394">
        <f>SUM($W$478:W521)/COUNT($W$478:W521)</f>
        <v>0.63636363636363635</v>
      </c>
    </row>
    <row r="522" spans="1:24" x14ac:dyDescent="0.15">
      <c r="A522" s="384">
        <f t="shared" si="209"/>
        <v>520</v>
      </c>
      <c r="B522" s="401">
        <f t="shared" si="140"/>
        <v>41466</v>
      </c>
      <c r="D522" s="390">
        <v>55487.447919999999</v>
      </c>
      <c r="E522" s="387">
        <f t="shared" ref="E522:E528" si="226">D522</f>
        <v>55487.447919999999</v>
      </c>
      <c r="F522" s="387">
        <f t="shared" si="162"/>
        <v>2548.8242300000056</v>
      </c>
      <c r="G522" s="388">
        <f t="shared" si="163"/>
        <v>4.8146779276422302E-2</v>
      </c>
      <c r="H522" s="387">
        <f t="shared" si="149"/>
        <v>32631.59792</v>
      </c>
      <c r="I522" s="388">
        <f t="shared" si="150"/>
        <v>1.4277131640258403</v>
      </c>
      <c r="L522" s="369">
        <v>1675.02</v>
      </c>
      <c r="M522" s="394">
        <f t="shared" ref="M522:M528" si="227">(L522/L521)-1</f>
        <v>3.6900848700949007E-2</v>
      </c>
      <c r="N522" s="394">
        <f t="shared" ref="N522:N528" si="228">(L522/$L$3)-1</f>
        <v>0.80094185446413202</v>
      </c>
      <c r="O522" s="395" t="str">
        <f t="shared" si="205"/>
        <v>Yes</v>
      </c>
      <c r="P522" s="396">
        <f t="shared" ref="P522" si="229">IF(O522="Yes",1,0)</f>
        <v>1</v>
      </c>
      <c r="Q522" s="394">
        <f>SUM($P$4:P522)/COUNT($P$4:P522)</f>
        <v>0.54527938342967242</v>
      </c>
      <c r="S522" s="369">
        <v>15460.92</v>
      </c>
      <c r="T522" s="394">
        <f t="shared" ref="T522:T529" si="230">(S522/S521)-1</f>
        <v>3.1515390081095385E-2</v>
      </c>
      <c r="U522" s="394">
        <f t="shared" ref="U522:U525" si="231">(S522/$S$3)-1</f>
        <v>0.8014093499932422</v>
      </c>
      <c r="V522" s="395" t="str">
        <f t="shared" si="193"/>
        <v>Yes</v>
      </c>
      <c r="W522" s="396">
        <f t="shared" ref="W522" si="232">IF(V522="Yes",1,0)</f>
        <v>1</v>
      </c>
      <c r="X522" s="394">
        <f>SUM($W$478:W522)/COUNT($W$478:W522)</f>
        <v>0.64444444444444449</v>
      </c>
    </row>
    <row r="523" spans="1:24" x14ac:dyDescent="0.15">
      <c r="A523" s="384">
        <f t="shared" si="209"/>
        <v>521</v>
      </c>
      <c r="B523" s="401">
        <f t="shared" si="140"/>
        <v>41473</v>
      </c>
      <c r="D523" s="390">
        <v>55469.736499999999</v>
      </c>
      <c r="E523" s="387">
        <f t="shared" si="226"/>
        <v>55469.736499999999</v>
      </c>
      <c r="F523" s="387">
        <f t="shared" si="162"/>
        <v>-17.711419999999634</v>
      </c>
      <c r="G523" s="388">
        <f t="shared" si="163"/>
        <v>-3.1919687540027386E-4</v>
      </c>
      <c r="H523" s="387">
        <f t="shared" si="149"/>
        <v>32613.886500000001</v>
      </c>
      <c r="I523" s="388">
        <f t="shared" si="150"/>
        <v>1.4269382455695152</v>
      </c>
      <c r="L523" s="369">
        <v>1689.37</v>
      </c>
      <c r="M523" s="394">
        <f t="shared" si="227"/>
        <v>8.567061885828231E-3</v>
      </c>
      <c r="N523" s="394">
        <f t="shared" si="228"/>
        <v>0.81637063478410443</v>
      </c>
      <c r="O523" s="395" t="str">
        <f t="shared" si="205"/>
        <v>No</v>
      </c>
      <c r="P523" s="396">
        <f t="shared" ref="P523" si="233">IF(O523="Yes",1,0)</f>
        <v>0</v>
      </c>
      <c r="Q523" s="394">
        <f>SUM($P$4:P523)/COUNT($P$4:P523)</f>
        <v>0.54423076923076918</v>
      </c>
      <c r="S523" s="369">
        <v>15548.54</v>
      </c>
      <c r="T523" s="394">
        <f t="shared" si="230"/>
        <v>5.6671918618038664E-3</v>
      </c>
      <c r="U523" s="394">
        <f t="shared" si="231"/>
        <v>0.81161828240130118</v>
      </c>
      <c r="V523" s="395" t="str">
        <f t="shared" si="193"/>
        <v>No</v>
      </c>
      <c r="W523" s="396">
        <f t="shared" ref="W523" si="234">IF(V523="Yes",1,0)</f>
        <v>0</v>
      </c>
      <c r="X523" s="394">
        <f>SUM($W$478:W523)/COUNT($W$478:W523)</f>
        <v>0.63043478260869568</v>
      </c>
    </row>
    <row r="524" spans="1:24" x14ac:dyDescent="0.15">
      <c r="A524" s="384">
        <f t="shared" si="209"/>
        <v>522</v>
      </c>
      <c r="B524" s="401">
        <f t="shared" si="140"/>
        <v>41480</v>
      </c>
      <c r="D524" s="390">
        <v>54965.461609999991</v>
      </c>
      <c r="E524" s="387">
        <f t="shared" si="226"/>
        <v>54965.461609999991</v>
      </c>
      <c r="F524" s="387">
        <f t="shared" si="162"/>
        <v>-504.27489000000787</v>
      </c>
      <c r="G524" s="388">
        <f t="shared" si="163"/>
        <v>-9.0909912651200298E-3</v>
      </c>
      <c r="H524" s="387">
        <f t="shared" si="149"/>
        <v>32109.611609999993</v>
      </c>
      <c r="I524" s="388">
        <f t="shared" si="150"/>
        <v>1.404874971178057</v>
      </c>
      <c r="L524" s="369">
        <v>1690.25</v>
      </c>
      <c r="M524" s="394">
        <f t="shared" si="227"/>
        <v>5.2090424240991418E-4</v>
      </c>
      <c r="N524" s="394">
        <f t="shared" si="228"/>
        <v>0.81731678995355228</v>
      </c>
      <c r="O524" s="395" t="str">
        <f t="shared" si="205"/>
        <v>No</v>
      </c>
      <c r="P524" s="396">
        <f t="shared" ref="P524" si="235">IF(O524="Yes",1,0)</f>
        <v>0</v>
      </c>
      <c r="Q524" s="394">
        <f>SUM($P$4:P524)/COUNT($P$4:P524)</f>
        <v>0.54318618042226485</v>
      </c>
      <c r="S524" s="369">
        <v>15555.61</v>
      </c>
      <c r="T524" s="394">
        <f t="shared" si="230"/>
        <v>4.5470507198741572E-4</v>
      </c>
      <c r="U524" s="394">
        <f t="shared" si="231"/>
        <v>0.81244203442281426</v>
      </c>
      <c r="V524" s="395" t="str">
        <f t="shared" si="193"/>
        <v>No</v>
      </c>
      <c r="W524" s="396">
        <f t="shared" ref="W524" si="236">IF(V524="Yes",1,0)</f>
        <v>0</v>
      </c>
      <c r="X524" s="394">
        <f>SUM($W$478:W524)/COUNT($W$478:W524)</f>
        <v>0.61702127659574468</v>
      </c>
    </row>
    <row r="525" spans="1:24" x14ac:dyDescent="0.15">
      <c r="A525" s="384">
        <f t="shared" si="209"/>
        <v>523</v>
      </c>
      <c r="B525" s="401">
        <f t="shared" ref="B525:B588" si="237">B524+7</f>
        <v>41487</v>
      </c>
      <c r="D525" s="390">
        <v>55544.842089999998</v>
      </c>
      <c r="E525" s="387">
        <f t="shared" si="226"/>
        <v>55544.842089999998</v>
      </c>
      <c r="F525" s="387">
        <f t="shared" si="162"/>
        <v>579.38048000000708</v>
      </c>
      <c r="G525" s="388">
        <f t="shared" si="163"/>
        <v>1.0540809865491996E-2</v>
      </c>
      <c r="H525" s="387">
        <f t="shared" si="149"/>
        <v>32688.99209</v>
      </c>
      <c r="I525" s="388">
        <f t="shared" si="150"/>
        <v>1.4302243009995252</v>
      </c>
      <c r="L525" s="369">
        <v>1706.87</v>
      </c>
      <c r="M525" s="394">
        <f t="shared" si="227"/>
        <v>9.8328649608045993E-3</v>
      </c>
      <c r="N525" s="394">
        <f t="shared" si="228"/>
        <v>0.83518622054016833</v>
      </c>
      <c r="O525" s="395" t="str">
        <f t="shared" si="205"/>
        <v>Yes</v>
      </c>
      <c r="P525" s="396">
        <f t="shared" ref="P525:P526" si="238">IF(O525="Yes",1,0)</f>
        <v>1</v>
      </c>
      <c r="Q525" s="394">
        <f>SUM($P$4:P525)/COUNT($P$4:P525)</f>
        <v>0.54406130268199238</v>
      </c>
      <c r="S525" s="369">
        <v>15628.02</v>
      </c>
      <c r="T525" s="394">
        <f t="shared" si="230"/>
        <v>4.6549122792356457E-3</v>
      </c>
      <c r="U525" s="394">
        <f t="shared" si="231"/>
        <v>0.82087879310425182</v>
      </c>
      <c r="V525" s="395" t="str">
        <f t="shared" si="193"/>
        <v>Yes</v>
      </c>
      <c r="W525" s="396">
        <f t="shared" ref="W525" si="239">IF(V525="Yes",1,0)</f>
        <v>1</v>
      </c>
      <c r="X525" s="394">
        <f>SUM($W$478:W525)/COUNT($W$478:W525)</f>
        <v>0.625</v>
      </c>
    </row>
    <row r="526" spans="1:24" x14ac:dyDescent="0.15">
      <c r="A526" s="384">
        <f t="shared" si="209"/>
        <v>524</v>
      </c>
      <c r="B526" s="401">
        <f t="shared" si="237"/>
        <v>41494</v>
      </c>
      <c r="D526" s="390">
        <v>53750.599860000002</v>
      </c>
      <c r="E526" s="387">
        <f t="shared" si="226"/>
        <v>53750.599860000002</v>
      </c>
      <c r="F526" s="387">
        <f t="shared" si="162"/>
        <v>-1794.2422299999962</v>
      </c>
      <c r="G526" s="388">
        <f t="shared" si="163"/>
        <v>-3.230258944822928E-2</v>
      </c>
      <c r="H526" s="387">
        <f t="shared" si="149"/>
        <v>30894.749860000004</v>
      </c>
      <c r="I526" s="388">
        <f t="shared" si="150"/>
        <v>1.3517217631372276</v>
      </c>
      <c r="L526" s="369">
        <v>1697.48</v>
      </c>
      <c r="M526" s="394">
        <f t="shared" si="227"/>
        <v>-5.5012976969539551E-3</v>
      </c>
      <c r="N526" s="394">
        <f t="shared" si="228"/>
        <v>0.82509031481162909</v>
      </c>
      <c r="O526" s="395" t="str">
        <f t="shared" si="205"/>
        <v>No</v>
      </c>
      <c r="P526" s="396">
        <f t="shared" si="238"/>
        <v>0</v>
      </c>
      <c r="Q526" s="394">
        <f>SUM($P$4:P526)/COUNT($P$4:P526)</f>
        <v>0.54302103250478007</v>
      </c>
      <c r="S526" s="369">
        <v>15498.32</v>
      </c>
      <c r="T526" s="394">
        <f t="shared" si="230"/>
        <v>-8.2991959314103747E-3</v>
      </c>
      <c r="U526" s="394">
        <f t="shared" ref="U526:U529" si="240">(S526/$S$3)-1</f>
        <v>0.8057669632329294</v>
      </c>
      <c r="V526" s="395" t="str">
        <f t="shared" si="193"/>
        <v>No</v>
      </c>
      <c r="W526" s="396">
        <f t="shared" ref="W526" si="241">IF(V526="Yes",1,0)</f>
        <v>0</v>
      </c>
      <c r="X526" s="394">
        <f>SUM($W$478:W526)/COUNT($W$478:W526)</f>
        <v>0.61224489795918369</v>
      </c>
    </row>
    <row r="527" spans="1:24" x14ac:dyDescent="0.15">
      <c r="A527" s="384">
        <f t="shared" si="209"/>
        <v>525</v>
      </c>
      <c r="B527" s="401">
        <f t="shared" si="237"/>
        <v>41501</v>
      </c>
      <c r="D527" s="390">
        <v>51488.608650000002</v>
      </c>
      <c r="E527" s="387">
        <f t="shared" si="226"/>
        <v>51488.608650000002</v>
      </c>
      <c r="F527" s="387">
        <f t="shared" ref="F527:F533" si="242">E527-E526</f>
        <v>-2261.9912100000001</v>
      </c>
      <c r="G527" s="388">
        <f t="shared" si="163"/>
        <v>-4.2083087740260261E-2</v>
      </c>
      <c r="H527" s="387">
        <f t="shared" si="149"/>
        <v>28632.758650000003</v>
      </c>
      <c r="I527" s="388">
        <f t="shared" si="150"/>
        <v>1.2527540498384444</v>
      </c>
      <c r="L527" s="369">
        <v>1661.32</v>
      </c>
      <c r="M527" s="394">
        <f t="shared" si="227"/>
        <v>-2.1302165563069964E-2</v>
      </c>
      <c r="N527" s="394">
        <f t="shared" si="228"/>
        <v>0.78621193875795625</v>
      </c>
      <c r="O527" s="395" t="str">
        <f t="shared" si="205"/>
        <v>No</v>
      </c>
      <c r="P527" s="396">
        <f t="shared" ref="P527" si="243">IF(O527="Yes",1,0)</f>
        <v>0</v>
      </c>
      <c r="Q527" s="394">
        <f>SUM($P$4:P527)/COUNT($P$4:P527)</f>
        <v>0.5419847328244275</v>
      </c>
      <c r="S527" s="369">
        <v>15112.19</v>
      </c>
      <c r="T527" s="394">
        <f t="shared" si="230"/>
        <v>-2.491431329331173E-2</v>
      </c>
      <c r="U527" s="394">
        <f t="shared" si="240"/>
        <v>0.76077751937623206</v>
      </c>
      <c r="V527" s="395" t="str">
        <f t="shared" si="193"/>
        <v>No</v>
      </c>
      <c r="W527" s="396">
        <f t="shared" ref="W527" si="244">IF(V527="Yes",1,0)</f>
        <v>0</v>
      </c>
      <c r="X527" s="394">
        <f>SUM($W$478:W527)/COUNT($W$478:W527)</f>
        <v>0.6</v>
      </c>
    </row>
    <row r="528" spans="1:24" x14ac:dyDescent="0.15">
      <c r="A528" s="384">
        <f t="shared" si="209"/>
        <v>526</v>
      </c>
      <c r="B528" s="401">
        <f t="shared" si="237"/>
        <v>41508</v>
      </c>
      <c r="D528" s="390">
        <v>51765.866479999997</v>
      </c>
      <c r="E528" s="387">
        <f t="shared" si="226"/>
        <v>51765.866479999997</v>
      </c>
      <c r="F528" s="387">
        <f t="shared" si="242"/>
        <v>277.25782999999501</v>
      </c>
      <c r="G528" s="388">
        <f t="shared" si="163"/>
        <v>5.3848382636378922E-3</v>
      </c>
      <c r="H528" s="387">
        <f t="shared" si="149"/>
        <v>28910.016479999998</v>
      </c>
      <c r="I528" s="388">
        <f t="shared" si="150"/>
        <v>1.2648847660445792</v>
      </c>
      <c r="L528" s="369">
        <v>1656.96</v>
      </c>
      <c r="M528" s="394">
        <f t="shared" si="227"/>
        <v>-2.6244191365901726E-3</v>
      </c>
      <c r="N528" s="394">
        <f t="shared" si="228"/>
        <v>0.78152416996387397</v>
      </c>
      <c r="O528" s="395" t="str">
        <f t="shared" si="205"/>
        <v>Yes</v>
      </c>
      <c r="P528" s="396">
        <f t="shared" ref="P528" si="245">IF(O528="Yes",1,0)</f>
        <v>1</v>
      </c>
      <c r="Q528" s="394">
        <f>SUM($P$4:P528)/COUNT($P$4:P528)</f>
        <v>0.54285714285714282</v>
      </c>
      <c r="S528" s="369">
        <v>14963.74</v>
      </c>
      <c r="T528" s="394">
        <f t="shared" si="230"/>
        <v>-9.8231957115415547E-3</v>
      </c>
      <c r="U528" s="394">
        <f t="shared" si="240"/>
        <v>0.74348105719891677</v>
      </c>
      <c r="V528" s="395" t="str">
        <f t="shared" si="193"/>
        <v>Yes</v>
      </c>
      <c r="W528" s="396">
        <f t="shared" ref="W528" si="246">IF(V528="Yes",1,0)</f>
        <v>1</v>
      </c>
      <c r="X528" s="394">
        <f>SUM($W$478:W528)/COUNT($W$478:W528)</f>
        <v>0.60784313725490191</v>
      </c>
    </row>
    <row r="529" spans="1:24" x14ac:dyDescent="0.15">
      <c r="A529" s="384">
        <f t="shared" si="209"/>
        <v>527</v>
      </c>
      <c r="B529" s="401">
        <f t="shared" si="237"/>
        <v>41515</v>
      </c>
      <c r="D529" s="390">
        <v>51321.179999999993</v>
      </c>
      <c r="E529" s="387">
        <f t="shared" ref="E529:E536" si="247">D529</f>
        <v>51321.179999999993</v>
      </c>
      <c r="F529" s="387">
        <f t="shared" si="242"/>
        <v>-444.68648000000394</v>
      </c>
      <c r="G529" s="388">
        <f t="shared" si="163"/>
        <v>-8.5903416718005055E-3</v>
      </c>
      <c r="H529" s="387">
        <f t="shared" si="149"/>
        <v>28465.329999999994</v>
      </c>
      <c r="I529" s="388">
        <f t="shared" si="150"/>
        <v>1.2454286320570005</v>
      </c>
      <c r="L529" s="369">
        <v>1638.17</v>
      </c>
      <c r="M529" s="394">
        <f t="shared" ref="M529" si="248">(L529/L528)-1</f>
        <v>-1.1340044418694406E-2</v>
      </c>
      <c r="N529" s="394">
        <f t="shared" ref="N529" si="249">(L529/$L$3)-1</f>
        <v>0.76132160674350602</v>
      </c>
      <c r="O529" s="395" t="str">
        <f t="shared" si="205"/>
        <v>Yes</v>
      </c>
      <c r="P529" s="396">
        <f t="shared" ref="P529" si="250">IF(O529="Yes",1,0)</f>
        <v>1</v>
      </c>
      <c r="Q529" s="394">
        <f>SUM($P$4:P529)/COUNT($P$4:P529)</f>
        <v>0.54372623574144485</v>
      </c>
      <c r="S529" s="369">
        <v>14840.95</v>
      </c>
      <c r="T529" s="394">
        <f t="shared" si="230"/>
        <v>-8.2058362414743069E-3</v>
      </c>
      <c r="U529" s="394">
        <f t="shared" si="240"/>
        <v>0.72917433715343005</v>
      </c>
      <c r="V529" s="395" t="str">
        <f t="shared" si="193"/>
        <v>No</v>
      </c>
      <c r="W529" s="396">
        <f t="shared" ref="W529" si="251">IF(V529="Yes",1,0)</f>
        <v>0</v>
      </c>
      <c r="X529" s="394">
        <f>SUM($W$478:W529)/COUNT($W$478:W529)</f>
        <v>0.59615384615384615</v>
      </c>
    </row>
    <row r="530" spans="1:24" x14ac:dyDescent="0.15">
      <c r="A530" s="384">
        <f t="shared" si="209"/>
        <v>528</v>
      </c>
      <c r="B530" s="401">
        <f t="shared" si="237"/>
        <v>41522</v>
      </c>
      <c r="D530" s="390">
        <v>51641.85828</v>
      </c>
      <c r="E530" s="387">
        <f t="shared" si="247"/>
        <v>51641.85828</v>
      </c>
      <c r="F530" s="387">
        <f t="shared" si="242"/>
        <v>320.67828000000736</v>
      </c>
      <c r="G530" s="388">
        <f t="shared" si="163"/>
        <v>6.2484588234332783E-3</v>
      </c>
      <c r="H530" s="387">
        <f t="shared" si="149"/>
        <v>28786.008280000002</v>
      </c>
      <c r="I530" s="388">
        <f t="shared" si="150"/>
        <v>1.2594591004053668</v>
      </c>
      <c r="L530" s="369">
        <v>1655.08</v>
      </c>
      <c r="M530" s="394">
        <f t="shared" ref="M530" si="252">(L530/L529)-1</f>
        <v>1.0322494002453775E-2</v>
      </c>
      <c r="N530" s="394">
        <f t="shared" ref="N530" si="253">(L530/$L$3)-1</f>
        <v>0.77950283846550827</v>
      </c>
      <c r="O530" s="395" t="str">
        <f t="shared" si="205"/>
        <v>No</v>
      </c>
      <c r="P530" s="396">
        <f t="shared" ref="P530" si="254">IF(O530="Yes",1,0)</f>
        <v>0</v>
      </c>
      <c r="Q530" s="394">
        <f>SUM($P$4:P530)/COUNT($P$4:P530)</f>
        <v>0.54269449715370022</v>
      </c>
      <c r="S530" s="369">
        <v>14937.48</v>
      </c>
      <c r="T530" s="394">
        <f t="shared" ref="T530" si="255">(S530/S529)-1</f>
        <v>6.5043006007026172E-3</v>
      </c>
      <c r="U530" s="394">
        <f t="shared" ref="U530" si="256">(S530/$S$3)-1</f>
        <v>0.74042140683329682</v>
      </c>
      <c r="V530" s="395" t="str">
        <f t="shared" si="193"/>
        <v>No</v>
      </c>
      <c r="W530" s="396">
        <f t="shared" ref="W530" si="257">IF(V530="Yes",1,0)</f>
        <v>0</v>
      </c>
      <c r="X530" s="394">
        <f>SUM($W$478:W530)/COUNT($W$478:W530)</f>
        <v>0.58490566037735847</v>
      </c>
    </row>
    <row r="531" spans="1:24" x14ac:dyDescent="0.15">
      <c r="A531" s="384">
        <f t="shared" si="209"/>
        <v>529</v>
      </c>
      <c r="B531" s="401">
        <f t="shared" si="237"/>
        <v>41529</v>
      </c>
      <c r="D531" s="390">
        <v>53271.439579999998</v>
      </c>
      <c r="E531" s="387">
        <f t="shared" si="247"/>
        <v>53271.439579999998</v>
      </c>
      <c r="F531" s="387">
        <f t="shared" si="242"/>
        <v>1629.581299999998</v>
      </c>
      <c r="G531" s="388">
        <f t="shared" si="163"/>
        <v>3.1555434956745287E-2</v>
      </c>
      <c r="H531" s="387">
        <f t="shared" si="149"/>
        <v>30415.58958</v>
      </c>
      <c r="I531" s="388">
        <f t="shared" si="150"/>
        <v>1.3307573150856347</v>
      </c>
      <c r="L531" s="369">
        <v>1683.42</v>
      </c>
      <c r="M531" s="394">
        <f t="shared" ref="M531:M532" si="258">(L531/L530)-1</f>
        <v>1.7123039369698168E-2</v>
      </c>
      <c r="N531" s="394">
        <f t="shared" ref="N531:N532" si="259">(L531/$L$3)-1</f>
        <v>0.80997333562704288</v>
      </c>
      <c r="O531" s="395" t="str">
        <f t="shared" si="205"/>
        <v>Yes</v>
      </c>
      <c r="P531" s="396">
        <f t="shared" ref="P531" si="260">IF(O531="Yes",1,0)</f>
        <v>1</v>
      </c>
      <c r="Q531" s="394">
        <f>SUM($P$4:P531)/COUNT($P$4:P531)</f>
        <v>0.54356060606060608</v>
      </c>
      <c r="S531" s="369">
        <v>15300.64</v>
      </c>
      <c r="T531" s="394">
        <f t="shared" ref="T531:T532" si="261">(S531/S530)-1</f>
        <v>2.4311999078827196E-2</v>
      </c>
      <c r="U531" s="394">
        <f t="shared" ref="U531:U532" si="262">(S531/$S$3)-1</f>
        <v>0.7827345304729989</v>
      </c>
      <c r="V531" s="395" t="str">
        <f t="shared" si="193"/>
        <v>Yes</v>
      </c>
      <c r="W531" s="396">
        <f t="shared" ref="W531" si="263">IF(V531="Yes",1,0)</f>
        <v>1</v>
      </c>
      <c r="X531" s="394">
        <f>SUM($W$478:W531)/COUNT($W$478:W531)</f>
        <v>0.59259259259259256</v>
      </c>
    </row>
    <row r="532" spans="1:24" x14ac:dyDescent="0.15">
      <c r="A532" s="384">
        <f t="shared" si="209"/>
        <v>530</v>
      </c>
      <c r="B532" s="401">
        <f t="shared" si="237"/>
        <v>41536</v>
      </c>
      <c r="D532" s="390">
        <v>54338.890270000004</v>
      </c>
      <c r="E532" s="387">
        <f t="shared" si="247"/>
        <v>54338.890270000004</v>
      </c>
      <c r="F532" s="387">
        <f t="shared" si="242"/>
        <v>1067.4506900000051</v>
      </c>
      <c r="G532" s="388">
        <f t="shared" si="163"/>
        <v>2.0037954641660694E-2</v>
      </c>
      <c r="H532" s="387">
        <f t="shared" si="149"/>
        <v>31483.040270000005</v>
      </c>
      <c r="I532" s="388">
        <f t="shared" si="150"/>
        <v>1.3774609244460394</v>
      </c>
      <c r="L532" s="369">
        <v>1722.34</v>
      </c>
      <c r="M532" s="394">
        <f t="shared" si="258"/>
        <v>2.311960176307748E-2</v>
      </c>
      <c r="N532" s="394">
        <f t="shared" si="259"/>
        <v>0.85181919834852904</v>
      </c>
      <c r="O532" s="395" t="str">
        <f t="shared" si="205"/>
        <v>No</v>
      </c>
      <c r="P532" s="396">
        <f t="shared" ref="P532" si="264">IF(O532="Yes",1,0)</f>
        <v>0</v>
      </c>
      <c r="Q532" s="394">
        <f>SUM($P$4:P532)/COUNT($P$4:P532)</f>
        <v>0.5425330812854442</v>
      </c>
      <c r="S532" s="369">
        <v>15636.55</v>
      </c>
      <c r="T532" s="394">
        <f t="shared" si="261"/>
        <v>2.1953983624214413E-2</v>
      </c>
      <c r="U532" s="394">
        <f t="shared" si="262"/>
        <v>0.82187265516132468</v>
      </c>
      <c r="V532" s="395" t="str">
        <f t="shared" si="193"/>
        <v>No</v>
      </c>
      <c r="W532" s="396">
        <f t="shared" ref="W532" si="265">IF(V532="Yes",1,0)</f>
        <v>0</v>
      </c>
      <c r="X532" s="394">
        <f>SUM($W$478:W532)/COUNT($W$478:W532)</f>
        <v>0.58181818181818179</v>
      </c>
    </row>
    <row r="533" spans="1:24" x14ac:dyDescent="0.15">
      <c r="A533" s="384">
        <f t="shared" si="209"/>
        <v>531</v>
      </c>
      <c r="B533" s="401">
        <f t="shared" si="237"/>
        <v>41543</v>
      </c>
      <c r="D533" s="390">
        <v>53710.914519999998</v>
      </c>
      <c r="E533" s="387">
        <f t="shared" si="247"/>
        <v>53710.914519999998</v>
      </c>
      <c r="F533" s="387">
        <f t="shared" si="242"/>
        <v>-627.97575000000506</v>
      </c>
      <c r="G533" s="388">
        <f t="shared" si="163"/>
        <v>-1.1556653933853078E-2</v>
      </c>
      <c r="H533" s="387">
        <f t="shared" si="149"/>
        <v>30855.06452</v>
      </c>
      <c r="I533" s="388">
        <f t="shared" si="150"/>
        <v>1.3499854313009578</v>
      </c>
      <c r="L533" s="369">
        <v>1698.67</v>
      </c>
      <c r="M533" s="394">
        <f t="shared" ref="M533" si="266">(L533/L532)-1</f>
        <v>-1.3742931128580826E-2</v>
      </c>
      <c r="N533" s="394">
        <f t="shared" ref="N533" si="267">(L533/$L$3)-1</f>
        <v>0.8263697746430414</v>
      </c>
      <c r="O533" s="395" t="str">
        <f t="shared" si="205"/>
        <v>Yes</v>
      </c>
      <c r="P533" s="396">
        <f t="shared" ref="P533" si="268">IF(O533="Yes",1,0)</f>
        <v>1</v>
      </c>
      <c r="Q533" s="394">
        <f>SUM($P$4:P533)/COUNT($P$4:P533)</f>
        <v>0.54339622641509433</v>
      </c>
      <c r="S533" s="369">
        <v>15328.3</v>
      </c>
      <c r="T533" s="394">
        <f t="shared" ref="T533" si="269">(S533/S532)-1</f>
        <v>-1.9713427834144981E-2</v>
      </c>
      <c r="U533" s="394">
        <f t="shared" ref="U533" si="270">(S533/$S$3)-1</f>
        <v>0.78595730005079978</v>
      </c>
      <c r="V533" s="395" t="str">
        <f t="shared" si="193"/>
        <v>Yes</v>
      </c>
      <c r="W533" s="396">
        <f t="shared" ref="W533" si="271">IF(V533="Yes",1,0)</f>
        <v>1</v>
      </c>
      <c r="X533" s="394">
        <f>SUM($W$478:W533)/COUNT($W$478:W533)</f>
        <v>0.5892857142857143</v>
      </c>
    </row>
    <row r="534" spans="1:24" x14ac:dyDescent="0.15">
      <c r="A534" s="384">
        <f t="shared" si="209"/>
        <v>532</v>
      </c>
      <c r="B534" s="401">
        <f t="shared" si="237"/>
        <v>41550</v>
      </c>
      <c r="D534" s="390">
        <v>53544.831089999992</v>
      </c>
      <c r="E534" s="387">
        <f t="shared" si="247"/>
        <v>53544.831089999992</v>
      </c>
      <c r="F534" s="387">
        <f t="shared" ref="F534" si="272">E534-E533</f>
        <v>-166.08343000000605</v>
      </c>
      <c r="G534" s="388">
        <f t="shared" ref="G534" si="273">(E534/E533)-1</f>
        <v>-3.0921728197006448E-3</v>
      </c>
      <c r="H534" s="387">
        <f t="shared" ref="H534" si="274">E534-$D$3</f>
        <v>30688.981089999994</v>
      </c>
      <c r="I534" s="388">
        <f t="shared" ref="I534" si="275">(E534/$D$3)-1</f>
        <v>1.3427188702235968</v>
      </c>
      <c r="L534" s="369">
        <v>1678.66</v>
      </c>
      <c r="M534" s="394">
        <f t="shared" ref="M534" si="276">(L534/L533)-1</f>
        <v>-1.1779804199756327E-2</v>
      </c>
      <c r="N534" s="394">
        <f t="shared" ref="N534" si="277">(L534/$L$3)-1</f>
        <v>0.80485549630139341</v>
      </c>
      <c r="O534" s="395" t="str">
        <f t="shared" si="205"/>
        <v>Yes</v>
      </c>
      <c r="P534" s="396">
        <f t="shared" ref="P534" si="278">IF(O534="Yes",1,0)</f>
        <v>1</v>
      </c>
      <c r="Q534" s="394">
        <f>SUM($P$4:P534)/COUNT($P$4:P534)</f>
        <v>0.54425612052730699</v>
      </c>
      <c r="S534" s="369">
        <v>14996.48</v>
      </c>
      <c r="T534" s="394">
        <f t="shared" ref="T534" si="279">(S534/S533)-1</f>
        <v>-2.1647540823183209E-2</v>
      </c>
      <c r="U534" s="394">
        <f t="shared" ref="U534" si="280">(S534/$S$3)-1</f>
        <v>0.747295716489488</v>
      </c>
      <c r="V534" s="395" t="str">
        <f t="shared" si="193"/>
        <v>Yes</v>
      </c>
      <c r="W534" s="396">
        <f t="shared" ref="W534" si="281">IF(V534="Yes",1,0)</f>
        <v>1</v>
      </c>
      <c r="X534" s="394">
        <f>SUM($W$478:W534)/COUNT($W$478:W534)</f>
        <v>0.59649122807017541</v>
      </c>
    </row>
    <row r="535" spans="1:24" x14ac:dyDescent="0.15">
      <c r="A535" s="384">
        <f t="shared" si="209"/>
        <v>533</v>
      </c>
      <c r="B535" s="401">
        <f t="shared" si="237"/>
        <v>41557</v>
      </c>
      <c r="D535" s="390">
        <v>53744.816409999992</v>
      </c>
      <c r="E535" s="387">
        <f t="shared" si="247"/>
        <v>53744.816409999992</v>
      </c>
      <c r="F535" s="387">
        <f t="shared" ref="F535" si="282">E535-E534</f>
        <v>199.98531999999977</v>
      </c>
      <c r="G535" s="388">
        <f t="shared" ref="G535" si="283">(E535/E534)-1</f>
        <v>3.7349136401954031E-3</v>
      </c>
      <c r="H535" s="387">
        <f t="shared" ref="H535" si="284">E535-$D$3</f>
        <v>30888.966409999994</v>
      </c>
      <c r="I535" s="388">
        <f t="shared" ref="I535" si="285">(E535/$D$3)-1</f>
        <v>1.3514687228871383</v>
      </c>
      <c r="L535" s="369">
        <v>1692.56</v>
      </c>
      <c r="M535" s="394">
        <f t="shared" ref="M535" si="286">(L535/L534)-1</f>
        <v>8.2804141398495901E-3</v>
      </c>
      <c r="N535" s="394">
        <f t="shared" ref="N535" si="287">(L535/$L$3)-1</f>
        <v>0.81980044727335266</v>
      </c>
      <c r="O535" s="395" t="str">
        <f t="shared" si="205"/>
        <v>No</v>
      </c>
      <c r="P535" s="396">
        <f t="shared" ref="P535" si="288">IF(O535="Yes",1,0)</f>
        <v>0</v>
      </c>
      <c r="Q535" s="394">
        <f>SUM($P$4:P535)/COUNT($P$4:P535)</f>
        <v>0.54323308270676696</v>
      </c>
      <c r="S535" s="369">
        <v>15126.07</v>
      </c>
      <c r="T535" s="394">
        <f t="shared" ref="T535" si="289">(S535/S534)-1</f>
        <v>8.6413611727551576E-3</v>
      </c>
      <c r="U535" s="394">
        <f t="shared" ref="U535" si="290">(S535/$S$3)-1</f>
        <v>0.76239472985128187</v>
      </c>
      <c r="V535" s="395" t="str">
        <f t="shared" si="193"/>
        <v>No</v>
      </c>
      <c r="W535" s="396">
        <f t="shared" ref="W535" si="291">IF(V535="Yes",1,0)</f>
        <v>0</v>
      </c>
      <c r="X535" s="394">
        <f>SUM($W$478:W535)/COUNT($W$478:W535)</f>
        <v>0.58620689655172409</v>
      </c>
    </row>
    <row r="536" spans="1:24" x14ac:dyDescent="0.15">
      <c r="A536" s="384">
        <f t="shared" si="209"/>
        <v>534</v>
      </c>
      <c r="B536" s="401">
        <f t="shared" si="237"/>
        <v>41564</v>
      </c>
      <c r="D536" s="390">
        <v>54206.152409999995</v>
      </c>
      <c r="E536" s="387">
        <f t="shared" si="247"/>
        <v>54206.152409999995</v>
      </c>
      <c r="F536" s="387">
        <f t="shared" ref="F536" si="292">E536-E535</f>
        <v>461.33600000000297</v>
      </c>
      <c r="G536" s="388">
        <f t="shared" ref="G536" si="293">(E536/E535)-1</f>
        <v>8.5838231631611972E-3</v>
      </c>
      <c r="H536" s="387">
        <f t="shared" ref="H536" si="294">E536-$D$3</f>
        <v>31350.302409999997</v>
      </c>
      <c r="I536" s="388">
        <f t="shared" ref="I536" si="295">(E536/$D$3)-1</f>
        <v>1.3716533145781056</v>
      </c>
      <c r="L536" s="369">
        <v>1729.47</v>
      </c>
      <c r="M536" s="394">
        <f t="shared" ref="M536" si="296">(L536/L535)-1</f>
        <v>2.1807203289691435E-2</v>
      </c>
      <c r="N536" s="394">
        <f t="shared" ref="N536" si="297">(L536/$L$3)-1</f>
        <v>0.85948520557371411</v>
      </c>
      <c r="O536" s="395" t="str">
        <f t="shared" si="205"/>
        <v>No</v>
      </c>
      <c r="P536" s="396">
        <f t="shared" ref="P536" si="298">IF(O536="Yes",1,0)</f>
        <v>0</v>
      </c>
      <c r="Q536" s="394">
        <f>SUM($P$4:P536)/COUNT($P$4:P536)</f>
        <v>0.54221388367729828</v>
      </c>
      <c r="S536" s="369">
        <v>15346.83</v>
      </c>
      <c r="T536" s="394">
        <f t="shared" ref="T536" si="299">(S536/S535)-1</f>
        <v>1.4594669996899512E-2</v>
      </c>
      <c r="U536" s="394">
        <f t="shared" ref="U536" si="300">(S536/$S$3)-1</f>
        <v>0.78811629933773597</v>
      </c>
      <c r="V536" s="395" t="str">
        <f t="shared" si="193"/>
        <v>No</v>
      </c>
      <c r="W536" s="396">
        <f t="shared" ref="W536" si="301">IF(V536="Yes",1,0)</f>
        <v>0</v>
      </c>
      <c r="X536" s="394">
        <f>SUM($W$478:W536)/COUNT($W$478:W536)</f>
        <v>0.57627118644067798</v>
      </c>
    </row>
    <row r="537" spans="1:24" x14ac:dyDescent="0.15">
      <c r="A537" s="384">
        <f t="shared" si="209"/>
        <v>535</v>
      </c>
      <c r="B537" s="401">
        <f t="shared" si="237"/>
        <v>41571</v>
      </c>
      <c r="D537" s="390">
        <v>54268.322670000001</v>
      </c>
      <c r="E537" s="387">
        <f t="shared" ref="E537" si="302">D537</f>
        <v>54268.322670000001</v>
      </c>
      <c r="F537" s="387">
        <f t="shared" ref="F537" si="303">E537-E536</f>
        <v>62.170260000006238</v>
      </c>
      <c r="G537" s="388">
        <f t="shared" ref="G537" si="304">(E537/E536)-1</f>
        <v>1.146922576791054E-3</v>
      </c>
      <c r="H537" s="387">
        <f t="shared" ref="H537" si="305">E537-$D$3</f>
        <v>31412.472670000003</v>
      </c>
      <c r="I537" s="388">
        <f t="shared" ref="I537" si="306">(E537/$D$3)-1</f>
        <v>1.3743734173089166</v>
      </c>
      <c r="L537" s="369">
        <v>1752.07</v>
      </c>
      <c r="M537" s="394">
        <f t="shared" ref="M537" si="307">(L537/L536)-1</f>
        <v>1.3067587179887319E-2</v>
      </c>
      <c r="N537" s="394">
        <f t="shared" ref="N537" si="308">(L537/$L$3)-1</f>
        <v>0.88378419060725943</v>
      </c>
      <c r="O537" s="395" t="str">
        <f t="shared" si="205"/>
        <v>No</v>
      </c>
      <c r="P537" s="396">
        <f t="shared" ref="P537" si="309">IF(O537="Yes",1,0)</f>
        <v>0</v>
      </c>
      <c r="Q537" s="394">
        <f>SUM($P$4:P537)/COUNT($P$4:P537)</f>
        <v>0.54119850187265917</v>
      </c>
      <c r="S537" s="369">
        <v>15509.21</v>
      </c>
      <c r="T537" s="394">
        <f t="shared" ref="T537" si="310">(S537/S536)-1</f>
        <v>1.0580686695558672E-2</v>
      </c>
      <c r="U537" s="394">
        <f t="shared" ref="U537" si="311">(S537/$S$3)-1</f>
        <v>0.80703579767625011</v>
      </c>
      <c r="V537" s="395" t="str">
        <f t="shared" si="193"/>
        <v>No</v>
      </c>
      <c r="W537" s="396">
        <f t="shared" ref="W537" si="312">IF(V537="Yes",1,0)</f>
        <v>0</v>
      </c>
      <c r="X537" s="394">
        <f>SUM($W$478:W537)/COUNT($W$478:W537)</f>
        <v>0.56666666666666665</v>
      </c>
    </row>
    <row r="538" spans="1:24" x14ac:dyDescent="0.15">
      <c r="A538" s="384">
        <f t="shared" si="209"/>
        <v>536</v>
      </c>
      <c r="B538" s="401">
        <f t="shared" si="237"/>
        <v>41578</v>
      </c>
      <c r="D538" s="390">
        <v>53844.157950000008</v>
      </c>
      <c r="E538" s="387">
        <f t="shared" ref="E538" si="313">D538</f>
        <v>53844.157950000008</v>
      </c>
      <c r="F538" s="387">
        <f t="shared" ref="F538" si="314">E538-E537</f>
        <v>-424.16471999999339</v>
      </c>
      <c r="G538" s="388">
        <f t="shared" ref="G538" si="315">(E538/E537)-1</f>
        <v>-7.8160646788236754E-3</v>
      </c>
      <c r="H538" s="387">
        <f t="shared" ref="H538" si="316">E538-$D$3</f>
        <v>30988.307950000009</v>
      </c>
      <c r="I538" s="388">
        <f t="shared" ref="I538" si="317">(E538/$D$3)-1</f>
        <v>1.3558151611075506</v>
      </c>
      <c r="L538" s="369">
        <v>1756.54</v>
      </c>
      <c r="M538" s="394">
        <f t="shared" ref="M538" si="318">(L538/L537)-1</f>
        <v>2.5512679287928997E-3</v>
      </c>
      <c r="N538" s="394">
        <f t="shared" ref="N538" si="319">(L538/$L$3)-1</f>
        <v>0.8885902287975227</v>
      </c>
      <c r="O538" s="395" t="str">
        <f t="shared" si="205"/>
        <v>No</v>
      </c>
      <c r="P538" s="396">
        <f t="shared" ref="P538" si="320">IF(O538="Yes",1,0)</f>
        <v>0</v>
      </c>
      <c r="Q538" s="394">
        <f>SUM($P$4:P538)/COUNT($P$4:P538)</f>
        <v>0.54018691588785051</v>
      </c>
      <c r="S538" s="369">
        <v>15545.75</v>
      </c>
      <c r="T538" s="394">
        <f t="shared" ref="T538" si="321">(S538/S537)-1</f>
        <v>2.3560194232976617E-3</v>
      </c>
      <c r="U538" s="394">
        <f t="shared" ref="U538" si="322">(S538/$S$3)-1</f>
        <v>0.81129320911416936</v>
      </c>
      <c r="V538" s="395" t="str">
        <f t="shared" si="193"/>
        <v>No</v>
      </c>
      <c r="W538" s="396">
        <f t="shared" ref="W538" si="323">IF(V538="Yes",1,0)</f>
        <v>0</v>
      </c>
      <c r="X538" s="394">
        <f>SUM($W$478:W538)/COUNT($W$478:W538)</f>
        <v>0.55737704918032782</v>
      </c>
    </row>
    <row r="539" spans="1:24" x14ac:dyDescent="0.15">
      <c r="A539" s="384">
        <f t="shared" si="209"/>
        <v>537</v>
      </c>
      <c r="B539" s="401">
        <f t="shared" si="237"/>
        <v>41585</v>
      </c>
      <c r="D539" s="390">
        <v>52907.849669999996</v>
      </c>
      <c r="E539" s="387">
        <f t="shared" ref="E539" si="324">D539</f>
        <v>52907.849669999996</v>
      </c>
      <c r="F539" s="387">
        <f t="shared" ref="F539:F540" si="325">E539-E538</f>
        <v>-936.30828000001202</v>
      </c>
      <c r="G539" s="388">
        <f t="shared" ref="G539:G540" si="326">(E539/E538)-1</f>
        <v>-1.7389226903120503E-2</v>
      </c>
      <c r="H539" s="387">
        <f t="shared" ref="H539:H540" si="327">E539-$D$3</f>
        <v>30051.999669999997</v>
      </c>
      <c r="I539" s="388">
        <f t="shared" ref="I539:I540" si="328">(E539/$D$3)-1</f>
        <v>1.3148493567292401</v>
      </c>
      <c r="L539" s="369">
        <v>1747.15</v>
      </c>
      <c r="M539" s="394">
        <f t="shared" ref="M539:M541" si="329">(L539/L538)-1</f>
        <v>-5.3457365047194783E-3</v>
      </c>
      <c r="N539" s="394">
        <f t="shared" ref="N539:N541" si="330">(L539/$L$3)-1</f>
        <v>0.87849432306898323</v>
      </c>
      <c r="O539" s="395" t="str">
        <f t="shared" ref="O539" si="331">IF(G539&gt;M539,"Yes","No")</f>
        <v>No</v>
      </c>
      <c r="P539" s="396">
        <f t="shared" ref="P539:P540" si="332">IF(O539="Yes",1,0)</f>
        <v>0</v>
      </c>
      <c r="Q539" s="394">
        <f>SUM($P$4:P539)/COUNT($P$4:P539)</f>
        <v>0.53917910447761197</v>
      </c>
      <c r="S539" s="369">
        <v>15593.98</v>
      </c>
      <c r="T539" s="394">
        <f t="shared" ref="T539:T540" si="333">(S539/S538)-1</f>
        <v>3.1024556550824922E-3</v>
      </c>
      <c r="U539" s="394">
        <f t="shared" ref="U539:U540" si="334">(S539/$S$3)-1</f>
        <v>0.81691266597379819</v>
      </c>
      <c r="V539" s="395" t="str">
        <f t="shared" ref="V539" si="335">IF(G539&gt;T539,"Yes","No")</f>
        <v>No</v>
      </c>
      <c r="W539" s="396">
        <f t="shared" ref="W539:W540" si="336">IF(V539="Yes",1,0)</f>
        <v>0</v>
      </c>
      <c r="X539" s="394">
        <f>SUM($W$478:W539)/COUNT($W$478:W539)</f>
        <v>0.54838709677419351</v>
      </c>
    </row>
    <row r="540" spans="1:24" x14ac:dyDescent="0.15">
      <c r="A540" s="384">
        <f t="shared" si="209"/>
        <v>538</v>
      </c>
      <c r="B540" s="401">
        <f t="shared" si="237"/>
        <v>41592</v>
      </c>
      <c r="D540" s="390">
        <v>55010.895779999999</v>
      </c>
      <c r="E540" s="387">
        <f>D540</f>
        <v>55010.895779999999</v>
      </c>
      <c r="F540" s="387">
        <f t="shared" si="325"/>
        <v>2103.046110000003</v>
      </c>
      <c r="G540" s="388">
        <f t="shared" si="326"/>
        <v>3.9749226685969141E-2</v>
      </c>
      <c r="H540" s="387">
        <f t="shared" si="327"/>
        <v>32155.04578</v>
      </c>
      <c r="I540" s="388">
        <f t="shared" si="328"/>
        <v>1.4068628285537401</v>
      </c>
      <c r="L540" s="369">
        <v>1790.62</v>
      </c>
      <c r="M540" s="394">
        <f t="shared" si="329"/>
        <v>2.4880519703517123E-2</v>
      </c>
      <c r="N540" s="394">
        <f t="shared" si="330"/>
        <v>0.92523223808704613</v>
      </c>
      <c r="O540" s="395" t="str">
        <f t="shared" ref="O540:O545" si="337">IF(G540&gt;M540,"Yes","No")</f>
        <v>Yes</v>
      </c>
      <c r="P540" s="396">
        <f t="shared" si="332"/>
        <v>1</v>
      </c>
      <c r="Q540" s="394">
        <f>SUM($P$4:P540)/COUNT($P$4:P540)</f>
        <v>0.54003724394785846</v>
      </c>
      <c r="S540" s="369">
        <v>15876.22</v>
      </c>
      <c r="T540" s="394">
        <f t="shared" si="333"/>
        <v>1.8099292162744751E-2</v>
      </c>
      <c r="U540" s="394">
        <f t="shared" si="334"/>
        <v>0.84979749914944969</v>
      </c>
      <c r="V540" s="395" t="str">
        <f t="shared" ref="V540:V545" si="338">IF(G540&gt;T540,"Yes","No")</f>
        <v>Yes</v>
      </c>
      <c r="W540" s="396">
        <f t="shared" si="336"/>
        <v>1</v>
      </c>
      <c r="X540" s="394">
        <f>SUM($W$478:W540)/COUNT($W$478:W540)</f>
        <v>0.55555555555555558</v>
      </c>
    </row>
    <row r="541" spans="1:24" x14ac:dyDescent="0.15">
      <c r="A541" s="384">
        <f t="shared" si="209"/>
        <v>539</v>
      </c>
      <c r="B541" s="401">
        <f t="shared" si="237"/>
        <v>41599</v>
      </c>
      <c r="D541" s="390">
        <v>54483.941489999997</v>
      </c>
      <c r="E541" s="387">
        <f>D541</f>
        <v>54483.941489999997</v>
      </c>
      <c r="F541" s="387">
        <f t="shared" ref="F541" si="339">E541-E540</f>
        <v>-526.95429000000149</v>
      </c>
      <c r="G541" s="388">
        <f t="shared" ref="G541" si="340">(E541/E540)-1</f>
        <v>-9.5790894245278979E-3</v>
      </c>
      <c r="H541" s="387">
        <f t="shared" ref="H541" si="341">E541-$D$3</f>
        <v>31628.091489999999</v>
      </c>
      <c r="I541" s="388">
        <f t="shared" ref="I541" si="342">(E541/$D$3)-1</f>
        <v>1.3838072742864518</v>
      </c>
      <c r="L541" s="369">
        <v>1795.85</v>
      </c>
      <c r="M541" s="394">
        <f t="shared" si="329"/>
        <v>2.9207760440517205E-3</v>
      </c>
      <c r="N541" s="394">
        <f t="shared" si="330"/>
        <v>0.93085541028728702</v>
      </c>
      <c r="O541" s="395" t="str">
        <f t="shared" si="337"/>
        <v>No</v>
      </c>
      <c r="P541" s="396">
        <f t="shared" ref="P541" si="343">IF(O541="Yes",1,0)</f>
        <v>0</v>
      </c>
      <c r="Q541" s="394">
        <f>SUM($P$4:P541)/COUNT($P$4:P541)</f>
        <v>0.53903345724907059</v>
      </c>
      <c r="S541" s="369">
        <v>16009.99</v>
      </c>
      <c r="T541" s="394">
        <f t="shared" ref="T541" si="344">(S541/S540)-1</f>
        <v>8.4258091661617573E-3</v>
      </c>
      <c r="U541" s="394">
        <f t="shared" ref="U541" si="345">(S541/$S$3)-1</f>
        <v>0.86538353987332628</v>
      </c>
      <c r="V541" s="395" t="str">
        <f t="shared" si="338"/>
        <v>No</v>
      </c>
      <c r="W541" s="396">
        <f t="shared" ref="W541" si="346">IF(V541="Yes",1,0)</f>
        <v>0</v>
      </c>
      <c r="X541" s="394">
        <f>SUM($W$478:W541)/COUNT($W$478:W541)</f>
        <v>0.546875</v>
      </c>
    </row>
    <row r="542" spans="1:24" x14ac:dyDescent="0.15">
      <c r="A542" s="384">
        <f t="shared" si="209"/>
        <v>540</v>
      </c>
      <c r="B542" s="401">
        <f t="shared" si="237"/>
        <v>41606</v>
      </c>
      <c r="D542" s="390">
        <v>56970.483560000001</v>
      </c>
      <c r="E542" s="387">
        <f>D542</f>
        <v>56970.483560000001</v>
      </c>
      <c r="F542" s="387">
        <f t="shared" ref="F542" si="347">E542-E541</f>
        <v>2486.5420700000032</v>
      </c>
      <c r="G542" s="388">
        <f t="shared" ref="G542" si="348">(E542/E541)-1</f>
        <v>4.5638072466845703E-2</v>
      </c>
      <c r="H542" s="387">
        <f t="shared" ref="H542" si="349">E542-$D$3</f>
        <v>34114.633560000002</v>
      </c>
      <c r="I542" s="388">
        <f t="shared" ref="I542" si="350">(E542/$D$3)-1</f>
        <v>1.4925996434173308</v>
      </c>
      <c r="L542" s="369">
        <v>1807.23</v>
      </c>
      <c r="M542" s="394">
        <f t="shared" ref="M542" si="351">(L542/L541)-1</f>
        <v>6.3368321407690775E-3</v>
      </c>
      <c r="N542" s="394">
        <f t="shared" ref="N542" si="352">(L542/$L$3)-1</f>
        <v>0.94309091691037317</v>
      </c>
      <c r="O542" s="395" t="str">
        <f t="shared" si="337"/>
        <v>Yes</v>
      </c>
      <c r="P542" s="396">
        <f t="shared" ref="P542" si="353">IF(O542="Yes",1,0)</f>
        <v>1</v>
      </c>
      <c r="Q542" s="394">
        <f>SUM($P$4:P542)/COUNT($P$4:P542)</f>
        <v>0.53988868274582558</v>
      </c>
      <c r="S542" s="369">
        <v>16097.33</v>
      </c>
      <c r="T542" s="394">
        <f t="shared" ref="T542" si="354">(S542/S541)-1</f>
        <v>5.455343819702474E-3</v>
      </c>
      <c r="U542" s="394">
        <f t="shared" ref="U542" si="355">(S542/$S$3)-1</f>
        <v>0.87555984843894907</v>
      </c>
      <c r="V542" s="395" t="str">
        <f t="shared" si="338"/>
        <v>Yes</v>
      </c>
      <c r="W542" s="396">
        <f t="shared" ref="W542" si="356">IF(V542="Yes",1,0)</f>
        <v>1</v>
      </c>
      <c r="X542" s="394">
        <f>SUM($W$478:W542)/COUNT($W$478:W542)</f>
        <v>0.55384615384615388</v>
      </c>
    </row>
    <row r="543" spans="1:24" x14ac:dyDescent="0.15">
      <c r="A543" s="384">
        <f t="shared" si="209"/>
        <v>541</v>
      </c>
      <c r="B543" s="401">
        <f t="shared" si="237"/>
        <v>41613</v>
      </c>
      <c r="D543" s="390">
        <v>59106.213450000003</v>
      </c>
      <c r="E543" s="387">
        <f t="shared" ref="E543:E545" si="357">D543</f>
        <v>59106.213450000003</v>
      </c>
      <c r="F543" s="387">
        <f t="shared" ref="F543" si="358">E543-E542</f>
        <v>2135.7298900000023</v>
      </c>
      <c r="G543" s="388">
        <f t="shared" ref="G543" si="359">(E543/E542)-1</f>
        <v>3.7488358120581822E-2</v>
      </c>
      <c r="H543" s="387">
        <f t="shared" ref="H543" si="360">E543-$D$3</f>
        <v>36250.363450000004</v>
      </c>
      <c r="I543" s="388">
        <f t="shared" ref="I543" si="361">(E543/$D$3)-1</f>
        <v>1.5860431115009948</v>
      </c>
      <c r="L543" s="369">
        <v>1785.03</v>
      </c>
      <c r="M543" s="394">
        <f t="shared" ref="M543:M544" si="362">(L543/L542)-1</f>
        <v>-1.2283992629604445E-2</v>
      </c>
      <c r="N543" s="394">
        <f t="shared" ref="N543:N544" si="363">(L543/$L$3)-1</f>
        <v>0.9192220024083948</v>
      </c>
      <c r="O543" s="395" t="str">
        <f t="shared" si="337"/>
        <v>Yes</v>
      </c>
      <c r="P543" s="396">
        <f t="shared" ref="P543" si="364">IF(O543="Yes",1,0)</f>
        <v>1</v>
      </c>
      <c r="Q543" s="394">
        <f>SUM($P$4:P543)/COUNT($P$4:P543)</f>
        <v>0.54074074074074074</v>
      </c>
      <c r="S543" s="369">
        <v>15821.51</v>
      </c>
      <c r="T543" s="394">
        <f t="shared" ref="T543" si="365">(S543/S542)-1</f>
        <v>-1.7134518581652936E-2</v>
      </c>
      <c r="U543" s="394">
        <f t="shared" ref="U543" si="366">(S543/$S$3)-1</f>
        <v>0.84342303336486957</v>
      </c>
      <c r="V543" s="395" t="str">
        <f t="shared" si="338"/>
        <v>Yes</v>
      </c>
      <c r="W543" s="396">
        <f t="shared" ref="W543" si="367">IF(V543="Yes",1,0)</f>
        <v>1</v>
      </c>
      <c r="X543" s="394">
        <f>SUM($W$478:W543)/COUNT($W$478:W543)</f>
        <v>0.56060606060606055</v>
      </c>
    </row>
    <row r="544" spans="1:24" x14ac:dyDescent="0.15">
      <c r="A544" s="384">
        <f t="shared" si="209"/>
        <v>542</v>
      </c>
      <c r="B544" s="401">
        <f t="shared" si="237"/>
        <v>41620</v>
      </c>
      <c r="D544" s="390">
        <v>58346.691500000001</v>
      </c>
      <c r="E544" s="387">
        <f t="shared" si="357"/>
        <v>58346.691500000001</v>
      </c>
      <c r="F544" s="387">
        <f t="shared" ref="F544" si="368">E544-E543</f>
        <v>-759.52195000000211</v>
      </c>
      <c r="G544" s="388">
        <f t="shared" ref="G544" si="369">(E544/E543)-1</f>
        <v>-1.2850120243999563E-2</v>
      </c>
      <c r="H544" s="387">
        <f t="shared" ref="H544" si="370">E544-$D$3</f>
        <v>35490.841500000002</v>
      </c>
      <c r="I544" s="388">
        <f t="shared" ref="I544" si="371">(E544/$D$3)-1</f>
        <v>1.5528121465620401</v>
      </c>
      <c r="L544" s="369">
        <v>1775.5</v>
      </c>
      <c r="M544" s="394">
        <f t="shared" si="362"/>
        <v>-5.3388458457280796E-3</v>
      </c>
      <c r="N544" s="394">
        <f t="shared" si="363"/>
        <v>0.90897557199380685</v>
      </c>
      <c r="O544" s="395" t="str">
        <f t="shared" si="337"/>
        <v>No</v>
      </c>
      <c r="P544" s="396">
        <f t="shared" ref="P544" si="372">IF(O544="Yes",1,0)</f>
        <v>0</v>
      </c>
      <c r="Q544" s="394">
        <f>SUM($P$4:P544)/COUNT($P$4:P544)</f>
        <v>0.53974121996303137</v>
      </c>
      <c r="S544" s="369">
        <v>15739.43</v>
      </c>
      <c r="T544" s="394">
        <f t="shared" ref="T544" si="373">(S544/S543)-1</f>
        <v>-5.1878739766305637E-3</v>
      </c>
      <c r="U544" s="394">
        <f t="shared" ref="U544" si="374">(S544/$S$3)-1</f>
        <v>0.83385958698215479</v>
      </c>
      <c r="V544" s="395" t="str">
        <f t="shared" si="338"/>
        <v>No</v>
      </c>
      <c r="W544" s="396">
        <f t="shared" ref="W544" si="375">IF(V544="Yes",1,0)</f>
        <v>0</v>
      </c>
      <c r="X544" s="394">
        <f>SUM($W$478:W544)/COUNT($W$478:W544)</f>
        <v>0.55223880597014929</v>
      </c>
    </row>
    <row r="545" spans="1:38" x14ac:dyDescent="0.15">
      <c r="A545" s="384">
        <f t="shared" si="209"/>
        <v>543</v>
      </c>
      <c r="B545" s="401">
        <f t="shared" si="237"/>
        <v>41627</v>
      </c>
      <c r="D545" s="390">
        <v>58872.375899999999</v>
      </c>
      <c r="E545" s="387">
        <f t="shared" si="357"/>
        <v>58872.375899999999</v>
      </c>
      <c r="F545" s="387">
        <f t="shared" ref="F545" si="376">E545-E544</f>
        <v>525.68439999999828</v>
      </c>
      <c r="G545" s="388">
        <f t="shared" ref="G545" si="377">(E545/E544)-1</f>
        <v>9.0096693828818353E-3</v>
      </c>
      <c r="H545" s="387">
        <f t="shared" ref="H545" si="378">E545-$D$3</f>
        <v>36016.525900000001</v>
      </c>
      <c r="I545" s="388">
        <f t="shared" ref="I545" si="379">(E545/$D$3)-1</f>
        <v>1.5758121399991687</v>
      </c>
      <c r="L545" s="369">
        <v>1809.6</v>
      </c>
      <c r="M545" s="394">
        <f t="shared" ref="M545" si="380">(L545/L544)-1</f>
        <v>1.9205857504928092E-2</v>
      </c>
      <c r="N545" s="394">
        <f t="shared" ref="N545" si="381">(L545/$L$3)-1</f>
        <v>0.94563908480990855</v>
      </c>
      <c r="O545" s="395" t="str">
        <f t="shared" si="337"/>
        <v>No</v>
      </c>
      <c r="P545" s="396">
        <f t="shared" ref="P545" si="382">IF(O545="Yes",1,0)</f>
        <v>0</v>
      </c>
      <c r="Q545" s="394">
        <f>SUM($P$4:P545)/COUNT($P$4:P545)</f>
        <v>0.53874538745387457</v>
      </c>
      <c r="S545" s="369">
        <v>16179.08</v>
      </c>
      <c r="T545" s="394">
        <f t="shared" ref="T545" si="383">(S545/S544)-1</f>
        <v>2.7933031882348969E-2</v>
      </c>
      <c r="U545" s="394">
        <f t="shared" ref="U545" si="384">(S545/$S$3)-1</f>
        <v>0.88508484529307863</v>
      </c>
      <c r="V545" s="395" t="str">
        <f t="shared" si="338"/>
        <v>No</v>
      </c>
      <c r="W545" s="396">
        <f t="shared" ref="W545" si="385">IF(V545="Yes",1,0)</f>
        <v>0</v>
      </c>
      <c r="X545" s="394">
        <f>SUM($W$478:W545)/COUNT($W$478:W545)</f>
        <v>0.54411764705882348</v>
      </c>
    </row>
    <row r="546" spans="1:38" x14ac:dyDescent="0.15">
      <c r="A546" s="384">
        <f t="shared" si="209"/>
        <v>544</v>
      </c>
      <c r="B546" s="401">
        <f t="shared" si="237"/>
        <v>41634</v>
      </c>
      <c r="D546" s="390">
        <v>59672.559860000001</v>
      </c>
      <c r="E546" s="387">
        <f t="shared" ref="E546" si="386">D546</f>
        <v>59672.559860000001</v>
      </c>
      <c r="F546" s="387">
        <f t="shared" ref="F546" si="387">E546-E545</f>
        <v>800.18396000000212</v>
      </c>
      <c r="G546" s="388">
        <f t="shared" ref="G546" si="388">(E546/E545)-1</f>
        <v>1.3591840787251064E-2</v>
      </c>
      <c r="H546" s="387">
        <f t="shared" ref="H546" si="389">E546-$D$3</f>
        <v>36816.709860000003</v>
      </c>
      <c r="I546" s="388">
        <f t="shared" ref="I546" si="390">(E546/$D$3)-1</f>
        <v>1.6108221685039061</v>
      </c>
      <c r="L546" s="369">
        <v>1842.02</v>
      </c>
      <c r="M546" s="394">
        <f t="shared" ref="M546" si="391">(L546/L545)-1</f>
        <v>1.7915561450044359E-2</v>
      </c>
      <c r="N546" s="394">
        <f t="shared" ref="N546" si="392">(L546/$L$3)-1</f>
        <v>0.98049630139342847</v>
      </c>
      <c r="O546" s="395" t="str">
        <f t="shared" ref="O546" si="393">IF(G546&gt;M546,"Yes","No")</f>
        <v>No</v>
      </c>
      <c r="P546" s="396">
        <f t="shared" ref="P546" si="394">IF(O546="Yes",1,0)</f>
        <v>0</v>
      </c>
      <c r="Q546" s="394">
        <f>SUM($P$4:P546)/COUNT($P$4:P546)</f>
        <v>0.53775322283609572</v>
      </c>
      <c r="S546" s="369">
        <v>16479.88</v>
      </c>
      <c r="T546" s="394">
        <f t="shared" ref="T546" si="395">(S546/S545)-1</f>
        <v>1.8591910046801274E-2</v>
      </c>
      <c r="U546" s="394">
        <f t="shared" ref="U546" si="396">(S546/$S$3)-1</f>
        <v>0.92013217316735574</v>
      </c>
      <c r="V546" s="395" t="str">
        <f t="shared" ref="V546" si="397">IF(G546&gt;T546,"Yes","No")</f>
        <v>No</v>
      </c>
      <c r="W546" s="396">
        <f t="shared" ref="W546" si="398">IF(V546="Yes",1,0)</f>
        <v>0</v>
      </c>
      <c r="X546" s="394">
        <f>SUM($W$478:W546)/COUNT($W$478:W546)</f>
        <v>0.53623188405797106</v>
      </c>
    </row>
    <row r="547" spans="1:38" x14ac:dyDescent="0.15">
      <c r="A547" s="384">
        <f t="shared" si="209"/>
        <v>545</v>
      </c>
      <c r="B547" s="401">
        <f t="shared" si="237"/>
        <v>41641</v>
      </c>
      <c r="D547" s="390">
        <v>59179.269069999995</v>
      </c>
      <c r="E547" s="387">
        <f t="shared" ref="E547" si="399">D547</f>
        <v>59179.269069999995</v>
      </c>
      <c r="F547" s="387">
        <f t="shared" ref="F547" si="400">E547-E546</f>
        <v>-493.29079000000638</v>
      </c>
      <c r="G547" s="388">
        <f t="shared" ref="G547" si="401">(E547/E546)-1</f>
        <v>-8.2666269246255419E-3</v>
      </c>
      <c r="H547" s="387">
        <f t="shared" ref="H547" si="402">E547-$D$3</f>
        <v>36323.419069999996</v>
      </c>
      <c r="I547" s="388">
        <f t="shared" ref="I547" si="403">(E547/$D$3)-1</f>
        <v>1.5892394756703427</v>
      </c>
      <c r="L547" s="369">
        <v>1831.98</v>
      </c>
      <c r="M547" s="394">
        <f t="shared" ref="M547" si="404">(L547/L546)-1</f>
        <v>-5.450537996330107E-3</v>
      </c>
      <c r="N547" s="394">
        <f t="shared" ref="N547" si="405">(L547/$L$3)-1</f>
        <v>0.96970153105109236</v>
      </c>
      <c r="O547" s="395" t="str">
        <f t="shared" ref="O547" si="406">IF(G547&gt;M547,"Yes","No")</f>
        <v>No</v>
      </c>
      <c r="P547" s="396">
        <f t="shared" ref="P547" si="407">IF(O547="Yes",1,0)</f>
        <v>0</v>
      </c>
      <c r="Q547" s="394">
        <f>SUM($P$4:P547)/COUNT($P$4:P547)</f>
        <v>0.53676470588235292</v>
      </c>
      <c r="S547" s="369">
        <v>16441.349999999999</v>
      </c>
      <c r="T547" s="394">
        <f t="shared" ref="T547" si="408">(S547/S546)-1</f>
        <v>-2.3380024611830974E-3</v>
      </c>
      <c r="U547" s="394">
        <f t="shared" ref="U547" si="409">(S547/$S$3)-1</f>
        <v>0.91564289942069355</v>
      </c>
      <c r="V547" s="395" t="str">
        <f t="shared" ref="V547" si="410">IF(G547&gt;T547,"Yes","No")</f>
        <v>No</v>
      </c>
      <c r="W547" s="396">
        <f t="shared" ref="W547" si="411">IF(V547="Yes",1,0)</f>
        <v>0</v>
      </c>
      <c r="X547" s="394">
        <f>SUM($W$478:W547)/COUNT($W$478:W547)</f>
        <v>0.52857142857142858</v>
      </c>
    </row>
    <row r="548" spans="1:38" x14ac:dyDescent="0.15">
      <c r="A548" s="384">
        <f t="shared" si="209"/>
        <v>546</v>
      </c>
      <c r="B548" s="401">
        <f t="shared" si="237"/>
        <v>41648</v>
      </c>
      <c r="D548" s="390">
        <v>60489.635550000006</v>
      </c>
      <c r="E548" s="387">
        <f t="shared" ref="E548" si="412">D548</f>
        <v>60489.635550000006</v>
      </c>
      <c r="F548" s="387">
        <f t="shared" ref="F548" si="413">E548-E547</f>
        <v>1310.3664800000115</v>
      </c>
      <c r="G548" s="388">
        <f t="shared" ref="G548" si="414">(E548/E547)-1</f>
        <v>2.2142322820007276E-2</v>
      </c>
      <c r="H548" s="387">
        <f t="shared" ref="H548" si="415">E548-$D$3</f>
        <v>37633.785550000008</v>
      </c>
      <c r="I548" s="388">
        <f t="shared" ref="I548" si="416">(E548/$D$3)-1</f>
        <v>1.6465712519989415</v>
      </c>
      <c r="L548" s="369">
        <v>1838.13</v>
      </c>
      <c r="M548" s="394">
        <f t="shared" ref="M548" si="417">(L548/L547)-1</f>
        <v>3.3570235482920374E-3</v>
      </c>
      <c r="N548" s="394">
        <f t="shared" ref="N548" si="418">(L548/$L$3)-1</f>
        <v>0.97631386547393784</v>
      </c>
      <c r="O548" s="395" t="str">
        <f t="shared" ref="O548" si="419">IF(G548&gt;M548,"Yes","No")</f>
        <v>Yes</v>
      </c>
      <c r="P548" s="396">
        <f t="shared" ref="P548" si="420">IF(O548="Yes",1,0)</f>
        <v>1</v>
      </c>
      <c r="Q548" s="394">
        <f>SUM($P$4:P548)/COUNT($P$4:P548)</f>
        <v>0.53761467889908254</v>
      </c>
      <c r="S548" s="369">
        <v>16444.759999999998</v>
      </c>
      <c r="T548" s="394">
        <f t="shared" ref="T548" si="421">(S548/S547)-1</f>
        <v>2.0740389323270492E-4</v>
      </c>
      <c r="U548" s="394">
        <f t="shared" ref="U548" si="422">(S548/$S$3)-1</f>
        <v>0.91604021121607682</v>
      </c>
      <c r="V548" s="395" t="str">
        <f t="shared" ref="V548" si="423">IF(G548&gt;T548,"Yes","No")</f>
        <v>Yes</v>
      </c>
      <c r="W548" s="396">
        <f t="shared" ref="W548" si="424">IF(V548="Yes",1,0)</f>
        <v>1</v>
      </c>
      <c r="X548" s="394">
        <f>SUM($W$478:W548)/COUNT($W$478:W548)</f>
        <v>0.53521126760563376</v>
      </c>
    </row>
    <row r="549" spans="1:38" x14ac:dyDescent="0.15">
      <c r="A549" s="384">
        <f t="shared" si="209"/>
        <v>547</v>
      </c>
      <c r="B549" s="401">
        <f t="shared" si="237"/>
        <v>41655</v>
      </c>
      <c r="D549" s="390">
        <v>60632.46819</v>
      </c>
      <c r="E549" s="387">
        <f t="shared" ref="E549" si="425">D549</f>
        <v>60632.46819</v>
      </c>
      <c r="F549" s="387">
        <f t="shared" ref="F549" si="426">E549-E548</f>
        <v>142.83263999999326</v>
      </c>
      <c r="G549" s="388">
        <f t="shared" ref="G549" si="427">(E549/E548)-1</f>
        <v>2.361274600207075E-3</v>
      </c>
      <c r="H549" s="387">
        <f t="shared" ref="H549" si="428">E549-$D$3</f>
        <v>37776.618190000001</v>
      </c>
      <c r="I549" s="388">
        <f t="shared" ref="I549" si="429">(E549/$D$3)-1</f>
        <v>1.6528205334739248</v>
      </c>
      <c r="L549" s="369">
        <v>1845.89</v>
      </c>
      <c r="M549" s="394">
        <f t="shared" ref="M549" si="430">(L549/L548)-1</f>
        <v>4.2216818179345861E-3</v>
      </c>
      <c r="N549" s="394">
        <f t="shared" ref="N549" si="431">(L549/$L$3)-1</f>
        <v>0.98465723378634107</v>
      </c>
      <c r="O549" s="395" t="str">
        <f t="shared" ref="O549" si="432">IF(G549&gt;M549,"Yes","No")</f>
        <v>No</v>
      </c>
      <c r="P549" s="396">
        <f t="shared" ref="P549" si="433">IF(O549="Yes",1,0)</f>
        <v>0</v>
      </c>
      <c r="Q549" s="394">
        <f>SUM($P$4:P549)/COUNT($P$4:P549)</f>
        <v>0.53663003663003661</v>
      </c>
      <c r="S549" s="369">
        <v>16417.009999999998</v>
      </c>
      <c r="T549" s="394">
        <f t="shared" ref="T549" si="434">(S549/S548)-1</f>
        <v>-1.6874676188646243E-3</v>
      </c>
      <c r="U549" s="394">
        <f t="shared" ref="U549" si="435">(S549/$S$3)-1</f>
        <v>0.91280695540320722</v>
      </c>
      <c r="V549" s="395" t="str">
        <f t="shared" ref="V549" si="436">IF(G549&gt;T549,"Yes","No")</f>
        <v>Yes</v>
      </c>
      <c r="W549" s="396">
        <f t="shared" ref="W549" si="437">IF(V549="Yes",1,0)</f>
        <v>1</v>
      </c>
      <c r="X549" s="394">
        <f>SUM($W$478:W549)/COUNT($W$478:W549)</f>
        <v>0.54166666666666663</v>
      </c>
    </row>
    <row r="550" spans="1:38" x14ac:dyDescent="0.15">
      <c r="A550" s="384">
        <f t="shared" si="209"/>
        <v>548</v>
      </c>
      <c r="B550" s="401">
        <f t="shared" si="237"/>
        <v>41662</v>
      </c>
      <c r="D550" s="390">
        <v>60402.289379999995</v>
      </c>
      <c r="E550" s="387">
        <f t="shared" ref="E550:E552" si="438">D550</f>
        <v>60402.289379999995</v>
      </c>
      <c r="F550" s="387">
        <f t="shared" ref="F550:F552" si="439">E550-E549</f>
        <v>-230.17881000000489</v>
      </c>
      <c r="G550" s="388">
        <f t="shared" ref="G550:G552" si="440">(E550/E549)-1</f>
        <v>-3.7962962233156761E-3</v>
      </c>
      <c r="H550" s="387">
        <f t="shared" ref="H550" si="441">E550-$D$3</f>
        <v>37546.439379999996</v>
      </c>
      <c r="I550" s="388">
        <f t="shared" ref="I550" si="442">(E550/$D$3)-1</f>
        <v>1.6427496409015636</v>
      </c>
      <c r="L550" s="369">
        <v>1828.46</v>
      </c>
      <c r="M550" s="394">
        <f t="shared" ref="M550:M552" si="443">(L550/L549)-1</f>
        <v>-9.4425995048459388E-3</v>
      </c>
      <c r="N550" s="394">
        <f t="shared" ref="N550:N552" si="444">(L550/$L$3)-1</f>
        <v>0.96591691037330119</v>
      </c>
      <c r="O550" s="395" t="str">
        <f t="shared" ref="O550:O552" si="445">IF(G550&gt;M550,"Yes","No")</f>
        <v>Yes</v>
      </c>
      <c r="P550" s="396">
        <f t="shared" ref="P550:P552" si="446">IF(O550="Yes",1,0)</f>
        <v>1</v>
      </c>
      <c r="Q550" s="394">
        <f>SUM($P$4:P550)/COUNT($P$4:P550)</f>
        <v>0.53747714808043878</v>
      </c>
      <c r="S550" s="369">
        <v>16197.35</v>
      </c>
      <c r="T550" s="394">
        <f t="shared" ref="T550:T552" si="447">(S550/S549)-1</f>
        <v>-1.338002474262967E-2</v>
      </c>
      <c r="U550" s="394">
        <f t="shared" ref="U550:U552" si="448">(S550/$S$3)-1</f>
        <v>0.88721355101203825</v>
      </c>
      <c r="V550" s="395" t="str">
        <f t="shared" ref="V550:V552" si="449">IF(G550&gt;T550,"Yes","No")</f>
        <v>Yes</v>
      </c>
      <c r="W550" s="396">
        <f t="shared" ref="W550:W552" si="450">IF(V550="Yes",1,0)</f>
        <v>1</v>
      </c>
      <c r="X550" s="394">
        <f>SUM($W$478:W550)/COUNT($W$478:W550)</f>
        <v>0.54794520547945202</v>
      </c>
    </row>
    <row r="551" spans="1:38" x14ac:dyDescent="0.15">
      <c r="A551" s="384">
        <f t="shared" si="209"/>
        <v>549</v>
      </c>
      <c r="B551" s="401">
        <f t="shared" si="237"/>
        <v>41669</v>
      </c>
      <c r="D551" s="390">
        <v>58161.644639999999</v>
      </c>
      <c r="E551" s="387">
        <f t="shared" si="438"/>
        <v>58161.644639999999</v>
      </c>
      <c r="F551" s="387">
        <f t="shared" si="439"/>
        <v>-2240.6447399999961</v>
      </c>
      <c r="G551" s="388">
        <f t="shared" si="440"/>
        <v>-3.7095361169239172E-2</v>
      </c>
      <c r="H551" s="387">
        <f t="shared" ref="H551:H552" si="451">E551-$D$3</f>
        <v>35305.79464</v>
      </c>
      <c r="I551" s="388">
        <f t="shared" ref="I551:I552" si="452">(E551/$D$3)-1</f>
        <v>1.5447158884924428</v>
      </c>
      <c r="L551" s="369">
        <v>1794.19</v>
      </c>
      <c r="M551" s="394">
        <f t="shared" si="443"/>
        <v>-1.8742548374041546E-2</v>
      </c>
      <c r="N551" s="394">
        <f t="shared" si="444"/>
        <v>0.92907061758128329</v>
      </c>
      <c r="O551" s="395" t="str">
        <f t="shared" si="445"/>
        <v>No</v>
      </c>
      <c r="P551" s="396">
        <f t="shared" si="446"/>
        <v>0</v>
      </c>
      <c r="Q551" s="394">
        <f>SUM($P$4:P551)/COUNT($P$4:P551)</f>
        <v>0.53649635036496346</v>
      </c>
      <c r="S551" s="369">
        <v>15848.61</v>
      </c>
      <c r="T551" s="394">
        <f t="shared" si="447"/>
        <v>-2.1530682488184794E-2</v>
      </c>
      <c r="U551" s="394">
        <f t="shared" si="448"/>
        <v>0.8465805552577983</v>
      </c>
      <c r="V551" s="395" t="str">
        <f t="shared" si="449"/>
        <v>No</v>
      </c>
      <c r="W551" s="396">
        <f t="shared" si="450"/>
        <v>0</v>
      </c>
      <c r="X551" s="394">
        <f>SUM($W$478:W551)/COUNT($W$478:W551)</f>
        <v>0.54054054054054057</v>
      </c>
    </row>
    <row r="552" spans="1:38" x14ac:dyDescent="0.15">
      <c r="A552" s="384">
        <f t="shared" si="209"/>
        <v>550</v>
      </c>
      <c r="B552" s="401">
        <f t="shared" si="237"/>
        <v>41676</v>
      </c>
      <c r="D552" s="390">
        <v>57841.109790000002</v>
      </c>
      <c r="E552" s="387">
        <f t="shared" si="438"/>
        <v>57841.109790000002</v>
      </c>
      <c r="F552" s="387">
        <f t="shared" si="439"/>
        <v>-320.53484999999637</v>
      </c>
      <c r="G552" s="388">
        <f t="shared" si="440"/>
        <v>-5.5111036144867009E-3</v>
      </c>
      <c r="H552" s="387">
        <f t="shared" si="451"/>
        <v>34985.259790000004</v>
      </c>
      <c r="I552" s="388">
        <f t="shared" si="452"/>
        <v>1.5306916955615306</v>
      </c>
      <c r="L552" s="369">
        <v>1773.43</v>
      </c>
      <c r="M552" s="394">
        <f t="shared" si="443"/>
        <v>-1.1570680920080956E-2</v>
      </c>
      <c r="N552" s="394">
        <f t="shared" si="444"/>
        <v>0.90674995699294691</v>
      </c>
      <c r="O552" s="395" t="str">
        <f t="shared" si="445"/>
        <v>Yes</v>
      </c>
      <c r="P552" s="396">
        <f t="shared" si="446"/>
        <v>1</v>
      </c>
      <c r="Q552" s="394">
        <f>SUM($P$4:P552)/COUNT($P$4:P552)</f>
        <v>0.53734061930783239</v>
      </c>
      <c r="S552" s="369">
        <v>15628.53</v>
      </c>
      <c r="T552" s="394">
        <f t="shared" si="447"/>
        <v>-1.3886391298669087E-2</v>
      </c>
      <c r="U552" s="394">
        <f t="shared" si="448"/>
        <v>0.82093821510297493</v>
      </c>
      <c r="V552" s="395" t="str">
        <f t="shared" si="449"/>
        <v>Yes</v>
      </c>
      <c r="W552" s="396">
        <f t="shared" si="450"/>
        <v>1</v>
      </c>
      <c r="X552" s="394">
        <f>SUM($W$478:W552)/COUNT($W$478:W552)</f>
        <v>0.54666666666666663</v>
      </c>
    </row>
    <row r="553" spans="1:38" x14ac:dyDescent="0.15">
      <c r="A553" s="384">
        <f t="shared" si="209"/>
        <v>551</v>
      </c>
      <c r="B553" s="401">
        <f t="shared" si="237"/>
        <v>41683</v>
      </c>
      <c r="D553" s="390">
        <v>59121.448150000011</v>
      </c>
      <c r="E553" s="387">
        <f t="shared" ref="E553" si="453">D553</f>
        <v>59121.448150000011</v>
      </c>
      <c r="F553" s="387">
        <f t="shared" ref="F553" si="454">E553-E552</f>
        <v>1280.3383600000088</v>
      </c>
      <c r="G553" s="388">
        <f t="shared" ref="G553" si="455">(E553/E552)-1</f>
        <v>2.213543904410642E-2</v>
      </c>
      <c r="H553" s="387">
        <f t="shared" ref="H553" si="456">E553-$D$3</f>
        <v>36265.598150000013</v>
      </c>
      <c r="I553" s="388">
        <f t="shared" ref="I553" si="457">(E553/$D$3)-1</f>
        <v>1.586709667328059</v>
      </c>
      <c r="L553" s="369">
        <v>1829.83</v>
      </c>
      <c r="M553" s="394">
        <f t="shared" ref="M553" si="458">(L553/L552)-1</f>
        <v>3.1802777668134663E-2</v>
      </c>
      <c r="N553" s="394">
        <f t="shared" ref="N553" si="459">(L553/$L$3)-1</f>
        <v>0.96738990194391872</v>
      </c>
      <c r="O553" s="395" t="str">
        <f t="shared" ref="O553" si="460">IF(G553&gt;M553,"Yes","No")</f>
        <v>No</v>
      </c>
      <c r="P553" s="396">
        <f t="shared" ref="P553" si="461">IF(O553="Yes",1,0)</f>
        <v>0</v>
      </c>
      <c r="Q553" s="394">
        <f>SUM($P$4:P553)/COUNT($P$4:P553)</f>
        <v>0.53636363636363638</v>
      </c>
      <c r="S553" s="369">
        <v>16027.59</v>
      </c>
      <c r="T553" s="394">
        <f t="shared" ref="T553" si="462">(S553/S552)-1</f>
        <v>2.5534071342602216E-2</v>
      </c>
      <c r="U553" s="394">
        <f t="shared" ref="U553" si="463">(S553/$S$3)-1</f>
        <v>0.86743418139788497</v>
      </c>
      <c r="V553" s="395" t="str">
        <f t="shared" ref="V553" si="464">IF(G553&gt;T553,"Yes","No")</f>
        <v>No</v>
      </c>
      <c r="W553" s="396">
        <f t="shared" ref="W553" si="465">IF(V553="Yes",1,0)</f>
        <v>0</v>
      </c>
      <c r="X553" s="394">
        <f>SUM($W$478:W553)/COUNT($W$478:W553)</f>
        <v>0.53947368421052633</v>
      </c>
      <c r="AG553" s="369" t="s">
        <v>183</v>
      </c>
      <c r="AH553" s="462"/>
      <c r="AI553" s="462"/>
      <c r="AJ553" s="462"/>
      <c r="AK553" s="462"/>
      <c r="AL553" s="462"/>
    </row>
    <row r="554" spans="1:38" x14ac:dyDescent="0.15">
      <c r="A554" s="384">
        <f t="shared" si="209"/>
        <v>552</v>
      </c>
      <c r="B554" s="401">
        <f t="shared" si="237"/>
        <v>41690</v>
      </c>
      <c r="D554" s="390">
        <v>59934.932500000003</v>
      </c>
      <c r="E554" s="387">
        <f t="shared" ref="E554" si="466">D554</f>
        <v>59934.932500000003</v>
      </c>
      <c r="F554" s="387">
        <f t="shared" ref="F554" si="467">E554-E553</f>
        <v>813.48434999999154</v>
      </c>
      <c r="G554" s="388">
        <f t="shared" ref="G554" si="468">(E554/E553)-1</f>
        <v>1.3759547092555335E-2</v>
      </c>
      <c r="H554" s="387">
        <f t="shared" ref="H554" si="469">E554-$D$3</f>
        <v>37079.082500000004</v>
      </c>
      <c r="I554" s="388">
        <f t="shared" ref="I554" si="470">(E554/$D$3)-1</f>
        <v>1.6223016208104273</v>
      </c>
      <c r="L554" s="369">
        <v>1839.78</v>
      </c>
      <c r="M554" s="394">
        <f t="shared" ref="M554" si="471">(L554/L553)-1</f>
        <v>5.4376636080948337E-3</v>
      </c>
      <c r="N554" s="394">
        <f t="shared" ref="N554" si="472">(L554/$L$3)-1</f>
        <v>0.97808790641665211</v>
      </c>
      <c r="O554" s="395" t="str">
        <f t="shared" ref="O554" si="473">IF(G554&gt;M554,"Yes","No")</f>
        <v>Yes</v>
      </c>
      <c r="P554" s="396">
        <f t="shared" ref="P554" si="474">IF(O554="Yes",1,0)</f>
        <v>1</v>
      </c>
      <c r="Q554" s="394">
        <f>SUM($P$4:P554)/COUNT($P$4:P554)</f>
        <v>0.5372050816696915</v>
      </c>
      <c r="S554" s="369">
        <v>16133.23</v>
      </c>
      <c r="T554" s="394">
        <f t="shared" ref="T554" si="475">(S554/S553)-1</f>
        <v>6.5911344125972882E-3</v>
      </c>
      <c r="U554" s="394">
        <f t="shared" ref="U554" si="476">(S554/$S$3)-1</f>
        <v>0.87974269109415704</v>
      </c>
      <c r="V554" s="395" t="str">
        <f t="shared" ref="V554" si="477">IF(G554&gt;T554,"Yes","No")</f>
        <v>Yes</v>
      </c>
      <c r="W554" s="396">
        <f t="shared" ref="W554" si="478">IF(V554="Yes",1,0)</f>
        <v>1</v>
      </c>
      <c r="X554" s="394">
        <f>SUM($W$478:W554)/COUNT($W$478:W554)</f>
        <v>0.54545454545454541</v>
      </c>
      <c r="AG554" s="445" t="s">
        <v>170</v>
      </c>
      <c r="AH554" s="462"/>
      <c r="AI554" s="462"/>
      <c r="AJ554" s="462"/>
      <c r="AK554" s="462"/>
      <c r="AL554" s="462"/>
    </row>
    <row r="555" spans="1:38" x14ac:dyDescent="0.15">
      <c r="A555" s="384">
        <f t="shared" si="209"/>
        <v>553</v>
      </c>
      <c r="B555" s="401">
        <f t="shared" si="237"/>
        <v>41697</v>
      </c>
      <c r="D555" s="390">
        <v>61225.532309999995</v>
      </c>
      <c r="E555" s="387">
        <f t="shared" ref="E555" si="479">D555</f>
        <v>61225.532309999995</v>
      </c>
      <c r="F555" s="387">
        <f t="shared" ref="F555" si="480">E555-E554</f>
        <v>1290.5998099999924</v>
      </c>
      <c r="G555" s="388">
        <f t="shared" ref="G555" si="481">(E555/E554)-1</f>
        <v>2.1533348852941447E-2</v>
      </c>
      <c r="H555" s="387">
        <f t="shared" ref="H555" si="482">E555-$D$3</f>
        <v>38369.682309999997</v>
      </c>
      <c r="I555" s="388">
        <f t="shared" ref="I555" si="483">(E555/$D$3)-1</f>
        <v>1.678768556408972</v>
      </c>
      <c r="L555" s="369">
        <v>1854.29</v>
      </c>
      <c r="M555" s="394">
        <f t="shared" ref="M555" si="484">(L555/L554)-1</f>
        <v>7.886812553674849E-3</v>
      </c>
      <c r="N555" s="394">
        <f t="shared" ref="N555" si="485">(L555/$L$3)-1</f>
        <v>0.99368871494925148</v>
      </c>
      <c r="O555" s="395" t="str">
        <f t="shared" ref="O555" si="486">IF(G555&gt;M555,"Yes","No")</f>
        <v>Yes</v>
      </c>
      <c r="P555" s="396">
        <f t="shared" ref="P555" si="487">IF(O555="Yes",1,0)</f>
        <v>1</v>
      </c>
      <c r="Q555" s="394">
        <f>SUM($P$4:P555)/COUNT($P$4:P555)</f>
        <v>0.53804347826086951</v>
      </c>
      <c r="S555" s="369">
        <v>16272.65</v>
      </c>
      <c r="T555" s="394">
        <f t="shared" ref="T555" si="488">(S555/S554)-1</f>
        <v>8.6417908875036087E-3</v>
      </c>
      <c r="U555" s="394">
        <f t="shared" ref="U555" si="489">(S555/$S$3)-1</f>
        <v>0.89598703435290594</v>
      </c>
      <c r="V555" s="395" t="str">
        <f t="shared" ref="V555" si="490">IF(G555&gt;T555,"Yes","No")</f>
        <v>Yes</v>
      </c>
      <c r="W555" s="396">
        <f t="shared" ref="W555" si="491">IF(V555="Yes",1,0)</f>
        <v>1</v>
      </c>
      <c r="X555" s="394">
        <f>SUM($W$478:W555)/COUNT($W$478:W555)</f>
        <v>0.55128205128205132</v>
      </c>
      <c r="AG555" s="462"/>
      <c r="AH555" s="462"/>
      <c r="AI555" s="462"/>
      <c r="AJ555" s="462"/>
      <c r="AK555" s="462"/>
      <c r="AL555" s="462"/>
    </row>
    <row r="556" spans="1:38" x14ac:dyDescent="0.15">
      <c r="A556" s="384">
        <f t="shared" si="209"/>
        <v>554</v>
      </c>
      <c r="B556" s="401">
        <f t="shared" si="237"/>
        <v>41704</v>
      </c>
      <c r="D556" s="390">
        <v>62530.964810000005</v>
      </c>
      <c r="E556" s="387">
        <f t="shared" ref="E556" si="492">D556</f>
        <v>62530.964810000005</v>
      </c>
      <c r="F556" s="387">
        <f t="shared" ref="F556" si="493">E556-E555</f>
        <v>1305.4325000000099</v>
      </c>
      <c r="G556" s="388">
        <f t="shared" ref="G556" si="494">(E556/E555)-1</f>
        <v>2.1321701106497226E-2</v>
      </c>
      <c r="H556" s="387">
        <f t="shared" ref="H556" si="495">E556-$D$3</f>
        <v>39675.114810000006</v>
      </c>
      <c r="I556" s="388">
        <f t="shared" ref="I556" si="496">(E556/$D$3)-1</f>
        <v>1.7358844589022069</v>
      </c>
      <c r="L556" s="369">
        <v>1877.03</v>
      </c>
      <c r="M556" s="394">
        <f t="shared" ref="M556" si="497">(L556/L555)-1</f>
        <v>1.2263453936547153E-2</v>
      </c>
      <c r="N556" s="394">
        <f t="shared" ref="N556" si="498">(L556/$L$3)-1</f>
        <v>1.0181382246688457</v>
      </c>
      <c r="O556" s="395" t="str">
        <f t="shared" ref="O556" si="499">IF(G556&gt;M556,"Yes","No")</f>
        <v>Yes</v>
      </c>
      <c r="P556" s="396">
        <f t="shared" ref="P556" si="500">IF(O556="Yes",1,0)</f>
        <v>1</v>
      </c>
      <c r="Q556" s="394">
        <f>SUM($P$4:P556)/COUNT($P$4:P556)</f>
        <v>0.53887884267631103</v>
      </c>
      <c r="S556" s="369">
        <v>16421.89</v>
      </c>
      <c r="T556" s="394">
        <f t="shared" ref="T556" si="501">(S556/S555)-1</f>
        <v>9.1712167348281248E-3</v>
      </c>
      <c r="U556" s="394">
        <f t="shared" ref="U556" si="502">(S556/$S$3)-1</f>
        <v>0.9133755423713803</v>
      </c>
      <c r="V556" s="395" t="str">
        <f t="shared" ref="V556" si="503">IF(G556&gt;T556,"Yes","No")</f>
        <v>Yes</v>
      </c>
      <c r="W556" s="396">
        <f t="shared" ref="W556" si="504">IF(V556="Yes",1,0)</f>
        <v>1</v>
      </c>
      <c r="X556" s="394">
        <f>SUM($W$478:W556)/COUNT($W$478:W556)</f>
        <v>0.55696202531645567</v>
      </c>
      <c r="AG556" s="369" t="s">
        <v>191</v>
      </c>
      <c r="AH556" s="462"/>
      <c r="AI556" s="462"/>
      <c r="AJ556" s="462"/>
      <c r="AK556" s="462"/>
      <c r="AL556" s="462"/>
    </row>
    <row r="557" spans="1:38" x14ac:dyDescent="0.15">
      <c r="A557" s="384">
        <f t="shared" si="209"/>
        <v>555</v>
      </c>
      <c r="B557" s="401">
        <f t="shared" si="237"/>
        <v>41711</v>
      </c>
      <c r="D557" s="390">
        <v>61550.683209999996</v>
      </c>
      <c r="E557" s="387">
        <f t="shared" ref="E557" si="505">D557</f>
        <v>61550.683209999996</v>
      </c>
      <c r="F557" s="387">
        <f t="shared" ref="F557" si="506">E557-E556</f>
        <v>-980.28160000000935</v>
      </c>
      <c r="G557" s="388">
        <f t="shared" ref="G557" si="507">(E557/E556)-1</f>
        <v>-1.5676738764204057E-2</v>
      </c>
      <c r="H557" s="387">
        <f t="shared" ref="H557" si="508">E557-$D$3</f>
        <v>38694.833209999997</v>
      </c>
      <c r="I557" s="388">
        <f t="shared" ref="I557" si="509">(E557/$D$3)-1</f>
        <v>1.6929947129509513</v>
      </c>
      <c r="L557" s="369">
        <v>1846.34</v>
      </c>
      <c r="M557" s="394">
        <f t="shared" ref="M557" si="510">(L557/L556)-1</f>
        <v>-1.6350298077281722E-2</v>
      </c>
      <c r="N557" s="394">
        <f t="shared" ref="N557" si="511">(L557/$L$3)-1</f>
        <v>0.98514106313435379</v>
      </c>
      <c r="O557" s="395" t="str">
        <f t="shared" ref="O557" si="512">IF(G557&gt;M557,"Yes","No")</f>
        <v>Yes</v>
      </c>
      <c r="P557" s="396">
        <f t="shared" ref="P557" si="513">IF(O557="Yes",1,0)</f>
        <v>1</v>
      </c>
      <c r="Q557" s="394">
        <f>SUM($P$4:P557)/COUNT($P$4:P557)</f>
        <v>0.53971119133574008</v>
      </c>
      <c r="S557" s="369">
        <v>16108.89</v>
      </c>
      <c r="T557" s="394">
        <f t="shared" ref="T557" si="514">(S557/S556)-1</f>
        <v>-1.9059925501875852E-2</v>
      </c>
      <c r="U557" s="394">
        <f t="shared" ref="U557" si="515">(S557/$S$3)-1</f>
        <v>0.87690674707667049</v>
      </c>
      <c r="V557" s="395" t="str">
        <f t="shared" ref="V557" si="516">IF(G557&gt;T557,"Yes","No")</f>
        <v>Yes</v>
      </c>
      <c r="W557" s="396">
        <f t="shared" ref="W557" si="517">IF(V557="Yes",1,0)</f>
        <v>1</v>
      </c>
      <c r="X557" s="394">
        <f>SUM($W$478:W557)/COUNT($W$478:W557)</f>
        <v>0.5625</v>
      </c>
      <c r="AG557" s="369" t="s">
        <v>190</v>
      </c>
      <c r="AH557" s="462"/>
      <c r="AI557" s="462"/>
      <c r="AJ557" s="462"/>
      <c r="AK557" s="462"/>
      <c r="AL557" s="462"/>
    </row>
    <row r="558" spans="1:38" x14ac:dyDescent="0.15">
      <c r="A558" s="384">
        <f t="shared" si="209"/>
        <v>556</v>
      </c>
      <c r="B558" s="401">
        <f t="shared" si="237"/>
        <v>41718</v>
      </c>
      <c r="D558" s="390">
        <v>63056.341679999998</v>
      </c>
      <c r="E558" s="387">
        <f t="shared" ref="E558" si="518">D558</f>
        <v>63056.341679999998</v>
      </c>
      <c r="F558" s="387">
        <f t="shared" ref="F558" si="519">E558-E557</f>
        <v>1505.6584700000021</v>
      </c>
      <c r="G558" s="388">
        <f t="shared" ref="G558" si="520">(E558/E557)-1</f>
        <v>2.4462091913146855E-2</v>
      </c>
      <c r="H558" s="387">
        <f t="shared" ref="H558" si="521">E558-$D$3</f>
        <v>40200.491679999999</v>
      </c>
      <c r="I558" s="388">
        <f t="shared" ref="I558" si="522">(E558/$D$3)-1</f>
        <v>1.7588709971407757</v>
      </c>
      <c r="L558" s="369">
        <v>1872.01</v>
      </c>
      <c r="M558" s="394">
        <f t="shared" ref="M558" si="523">(L558/L557)-1</f>
        <v>1.390318142920588E-2</v>
      </c>
      <c r="N558" s="394">
        <f t="shared" ref="N558" si="524">(L558/$L$3)-1</f>
        <v>1.0127408394976776</v>
      </c>
      <c r="O558" s="395" t="str">
        <f t="shared" ref="O558" si="525">IF(G558&gt;M558,"Yes","No")</f>
        <v>Yes</v>
      </c>
      <c r="P558" s="396">
        <f t="shared" ref="P558" si="526">IF(O558="Yes",1,0)</f>
        <v>1</v>
      </c>
      <c r="Q558" s="394">
        <f>SUM($P$4:P558)/COUNT($P$4:P558)</f>
        <v>0.54054054054054057</v>
      </c>
      <c r="S558" s="369">
        <v>16331.05</v>
      </c>
      <c r="T558" s="394">
        <f t="shared" ref="T558" si="527">(S558/S557)-1</f>
        <v>1.3791142654770105E-2</v>
      </c>
      <c r="U558" s="394">
        <f t="shared" ref="U558" si="528">(S558/$S$3)-1</f>
        <v>0.90279143577530552</v>
      </c>
      <c r="V558" s="395" t="str">
        <f t="shared" ref="V558" si="529">IF(G558&gt;T558,"Yes","No")</f>
        <v>Yes</v>
      </c>
      <c r="W558" s="396">
        <f t="shared" ref="W558" si="530">IF(V558="Yes",1,0)</f>
        <v>1</v>
      </c>
      <c r="X558" s="394">
        <f>SUM($W$478:W558)/COUNT($W$478:W558)</f>
        <v>0.5679012345679012</v>
      </c>
    </row>
    <row r="559" spans="1:38" x14ac:dyDescent="0.15">
      <c r="A559" s="384">
        <f t="shared" si="209"/>
        <v>557</v>
      </c>
      <c r="B559" s="401">
        <f t="shared" si="237"/>
        <v>41725</v>
      </c>
      <c r="D559" s="390">
        <v>61896.339899999999</v>
      </c>
      <c r="E559" s="387">
        <f t="shared" ref="E559:E560" si="531">D559</f>
        <v>61896.339899999999</v>
      </c>
      <c r="F559" s="387">
        <f t="shared" ref="F559:F560" si="532">E559-E558</f>
        <v>-1160.0017799999987</v>
      </c>
      <c r="G559" s="388">
        <f t="shared" ref="G559:G560" si="533">(E559/E558)-1</f>
        <v>-1.8396274650483324E-2</v>
      </c>
      <c r="H559" s="387">
        <f t="shared" ref="H559:H560" si="534">E559-$D$3</f>
        <v>39040.4899</v>
      </c>
      <c r="I559" s="388">
        <f t="shared" ref="I559:I560" si="535">(E559/$D$3)-1</f>
        <v>1.7081180485521212</v>
      </c>
      <c r="L559" s="369">
        <v>1849.04</v>
      </c>
      <c r="M559" s="394">
        <f t="shared" ref="M559:M560" si="536">(L559/L558)-1</f>
        <v>-1.2270233599179559E-2</v>
      </c>
      <c r="N559" s="394">
        <f t="shared" ref="N559:N560" si="537">(L559/$L$3)-1</f>
        <v>0.98804403922243234</v>
      </c>
      <c r="O559" s="395" t="str">
        <f t="shared" ref="O559:O560" si="538">IF(G559&gt;M559,"Yes","No")</f>
        <v>No</v>
      </c>
      <c r="P559" s="396">
        <f t="shared" ref="P559:P560" si="539">IF(O559="Yes",1,0)</f>
        <v>0</v>
      </c>
      <c r="Q559" s="394">
        <f>SUM($P$4:P559)/COUNT($P$4:P559)</f>
        <v>0.53956834532374098</v>
      </c>
      <c r="S559" s="369">
        <v>16264.23</v>
      </c>
      <c r="T559" s="394">
        <f t="shared" ref="T559:T560" si="540">(S559/S558)-1</f>
        <v>-4.0915923960798128E-3</v>
      </c>
      <c r="U559" s="394">
        <f t="shared" ref="U559:U560" si="541">(S559/$S$3)-1</f>
        <v>0.89500598880536142</v>
      </c>
      <c r="V559" s="395" t="str">
        <f t="shared" ref="V559:V560" si="542">IF(G559&gt;T559,"Yes","No")</f>
        <v>No</v>
      </c>
      <c r="W559" s="396">
        <f t="shared" ref="W559:W560" si="543">IF(V559="Yes",1,0)</f>
        <v>0</v>
      </c>
      <c r="X559" s="394">
        <f>SUM($W$478:W559)/COUNT($W$478:W559)</f>
        <v>0.56097560975609762</v>
      </c>
    </row>
    <row r="560" spans="1:38" x14ac:dyDescent="0.15">
      <c r="A560" s="384">
        <f t="shared" si="209"/>
        <v>558</v>
      </c>
      <c r="B560" s="401">
        <f t="shared" si="237"/>
        <v>41732</v>
      </c>
      <c r="D560" s="390">
        <v>62952.897960000009</v>
      </c>
      <c r="E560" s="387">
        <f t="shared" si="531"/>
        <v>62952.897960000009</v>
      </c>
      <c r="F560" s="387">
        <f t="shared" si="532"/>
        <v>1056.5580600000103</v>
      </c>
      <c r="G560" s="388">
        <f t="shared" si="533"/>
        <v>1.7069798661875524E-2</v>
      </c>
      <c r="H560" s="387">
        <f t="shared" si="534"/>
        <v>40097.047960000011</v>
      </c>
      <c r="I560" s="388">
        <f t="shared" si="535"/>
        <v>1.7543450783934973</v>
      </c>
      <c r="L560" s="369">
        <v>1888.77</v>
      </c>
      <c r="M560" s="394">
        <f t="shared" si="536"/>
        <v>2.1486825595985026E-2</v>
      </c>
      <c r="N560" s="394">
        <f t="shared" si="537"/>
        <v>1.0307607947703423</v>
      </c>
      <c r="O560" s="395" t="str">
        <f t="shared" si="538"/>
        <v>No</v>
      </c>
      <c r="P560" s="396">
        <f t="shared" si="539"/>
        <v>0</v>
      </c>
      <c r="Q560" s="394">
        <f>SUM($P$4:P560)/COUNT($P$4:P560)</f>
        <v>0.53859964093357271</v>
      </c>
      <c r="S560" s="369">
        <v>16572.55</v>
      </c>
      <c r="T560" s="394">
        <f t="shared" si="540"/>
        <v>1.895693801673981E-2</v>
      </c>
      <c r="U560" s="394">
        <f t="shared" si="541"/>
        <v>0.9309294998764952</v>
      </c>
      <c r="V560" s="395" t="str">
        <f t="shared" si="542"/>
        <v>No</v>
      </c>
      <c r="W560" s="396">
        <f t="shared" si="543"/>
        <v>0</v>
      </c>
      <c r="X560" s="394">
        <f>SUM($W$478:W560)/COUNT($W$478:W560)</f>
        <v>0.55421686746987953</v>
      </c>
    </row>
    <row r="561" spans="1:27" x14ac:dyDescent="0.15">
      <c r="A561" s="384">
        <f t="shared" si="209"/>
        <v>559</v>
      </c>
      <c r="B561" s="401">
        <f t="shared" si="237"/>
        <v>41739</v>
      </c>
      <c r="D561" s="390">
        <v>61008.372510000001</v>
      </c>
      <c r="E561" s="387">
        <f t="shared" ref="E561" si="544">D561</f>
        <v>61008.372510000001</v>
      </c>
      <c r="F561" s="387">
        <f t="shared" ref="F561" si="545">E561-E560</f>
        <v>-1944.5254500000083</v>
      </c>
      <c r="G561" s="388">
        <f t="shared" ref="G561" si="546">(E561/E560)-1</f>
        <v>-3.0888577222220159E-2</v>
      </c>
      <c r="H561" s="387">
        <f t="shared" ref="H561" si="547">E561-$D$3</f>
        <v>38152.522510000003</v>
      </c>
      <c r="I561" s="388">
        <f t="shared" ref="I561" si="548">(E561/$D$3)-1</f>
        <v>1.6692672777428976</v>
      </c>
      <c r="L561" s="369">
        <v>1833.08</v>
      </c>
      <c r="M561" s="394">
        <f t="shared" ref="M561" si="549">(L561/L560)-1</f>
        <v>-2.9484796984280859E-2</v>
      </c>
      <c r="N561" s="394">
        <f t="shared" ref="N561" si="550">(L561/$L$3)-1</f>
        <v>0.97088422501290195</v>
      </c>
      <c r="O561" s="395" t="str">
        <f t="shared" ref="O561" si="551">IF(G561&gt;M561,"Yes","No")</f>
        <v>No</v>
      </c>
      <c r="P561" s="396">
        <f t="shared" ref="P561" si="552">IF(O561="Yes",1,0)</f>
        <v>0</v>
      </c>
      <c r="Q561" s="394">
        <f>SUM($P$4:P561)/COUNT($P$4:P561)</f>
        <v>0.5376344086021505</v>
      </c>
      <c r="S561" s="369">
        <v>16170.22</v>
      </c>
      <c r="T561" s="394">
        <f t="shared" ref="T561" si="553">(S561/S560)-1</f>
        <v>-2.4276891606904161E-2</v>
      </c>
      <c r="U561" s="394">
        <f t="shared" ref="U561" si="554">(S561/$S$3)-1</f>
        <v>0.88405253370741987</v>
      </c>
      <c r="V561" s="395" t="str">
        <f t="shared" ref="V561" si="555">IF(G561&gt;T561,"Yes","No")</f>
        <v>No</v>
      </c>
      <c r="W561" s="396">
        <f t="shared" ref="W561" si="556">IF(V561="Yes",1,0)</f>
        <v>0</v>
      </c>
      <c r="X561" s="394">
        <f>SUM($W$478:W561)/COUNT($W$478:W561)</f>
        <v>0.54761904761904767</v>
      </c>
    </row>
    <row r="562" spans="1:27" x14ac:dyDescent="0.15">
      <c r="A562" s="384">
        <f t="shared" si="209"/>
        <v>560</v>
      </c>
      <c r="B562" s="401">
        <f t="shared" si="237"/>
        <v>41746</v>
      </c>
      <c r="D562" s="390">
        <v>61992.267090000008</v>
      </c>
      <c r="E562" s="387">
        <f t="shared" ref="E562" si="557">D562</f>
        <v>61992.267090000008</v>
      </c>
      <c r="F562" s="387">
        <f t="shared" ref="F562" si="558">E562-E561</f>
        <v>983.89458000000741</v>
      </c>
      <c r="G562" s="388">
        <f t="shared" ref="G562" si="559">(E562/E561)-1</f>
        <v>1.6127205816525159E-2</v>
      </c>
      <c r="H562" s="387">
        <f t="shared" ref="H562" si="560">E562-$D$3</f>
        <v>39136.41709000001</v>
      </c>
      <c r="I562" s="388">
        <f t="shared" ref="I562" si="561">(E562/$D$3)-1</f>
        <v>1.7123151005103732</v>
      </c>
      <c r="L562" s="369">
        <v>1864.85</v>
      </c>
      <c r="M562" s="394">
        <f t="shared" ref="M562" si="562">(L562/L561)-1</f>
        <v>1.7331485805311297E-2</v>
      </c>
      <c r="N562" s="394">
        <f t="shared" ref="N562" si="563">(L562/$L$3)-1</f>
        <v>1.0050425769826248</v>
      </c>
      <c r="O562" s="395" t="str">
        <f t="shared" ref="O562" si="564">IF(G562&gt;M562,"Yes","No")</f>
        <v>No</v>
      </c>
      <c r="P562" s="396">
        <f t="shared" ref="P562" si="565">IF(O562="Yes",1,0)</f>
        <v>0</v>
      </c>
      <c r="Q562" s="394">
        <f>SUM($P$4:P562)/COUNT($P$4:P562)</f>
        <v>0.53667262969588547</v>
      </c>
      <c r="S562" s="369">
        <v>16408.54</v>
      </c>
      <c r="T562" s="394">
        <f t="shared" ref="T562" si="566">(S562/S561)-1</f>
        <v>1.4738203932908922E-2</v>
      </c>
      <c r="U562" s="394">
        <f t="shared" ref="U562" si="567">(S562/$S$3)-1</f>
        <v>0.91182008416951343</v>
      </c>
      <c r="V562" s="395" t="str">
        <f t="shared" ref="V562" si="568">IF(G562&gt;T562,"Yes","No")</f>
        <v>Yes</v>
      </c>
      <c r="W562" s="396">
        <f t="shared" ref="W562" si="569">IF(V562="Yes",1,0)</f>
        <v>1</v>
      </c>
      <c r="X562" s="394">
        <f>SUM($W$478:W562)/COUNT($W$478:W562)</f>
        <v>0.55294117647058827</v>
      </c>
    </row>
    <row r="563" spans="1:27" x14ac:dyDescent="0.15">
      <c r="A563" s="384">
        <f t="shared" si="209"/>
        <v>561</v>
      </c>
      <c r="B563" s="401">
        <f t="shared" si="237"/>
        <v>41753</v>
      </c>
      <c r="D563" s="390">
        <v>62785.290809999991</v>
      </c>
      <c r="E563" s="387">
        <f t="shared" ref="E563" si="570">D563</f>
        <v>62785.290809999991</v>
      </c>
      <c r="F563" s="387">
        <f t="shared" ref="F563" si="571">E563-E562</f>
        <v>793.02371999998286</v>
      </c>
      <c r="G563" s="388">
        <f t="shared" ref="G563" si="572">(E563/E562)-1</f>
        <v>1.2792300672738399E-2</v>
      </c>
      <c r="H563" s="387">
        <f t="shared" ref="H563" si="573">E563-$D$3</f>
        <v>39929.440809999993</v>
      </c>
      <c r="I563" s="388">
        <f t="shared" ref="I563" si="574">(E563/$D$3)-1</f>
        <v>1.7470118507953103</v>
      </c>
      <c r="L563" s="369">
        <v>1878.61</v>
      </c>
      <c r="M563" s="394">
        <f t="shared" ref="M563" si="575">(L563/L562)-1</f>
        <v>7.3786095396413121E-3</v>
      </c>
      <c r="N563" s="394">
        <f t="shared" ref="N563" si="576">(L563/$L$3)-1</f>
        <v>1.019837003268536</v>
      </c>
      <c r="O563" s="395" t="str">
        <f t="shared" ref="O563" si="577">IF(G563&gt;M563,"Yes","No")</f>
        <v>Yes</v>
      </c>
      <c r="P563" s="396">
        <f t="shared" ref="P563" si="578">IF(O563="Yes",1,0)</f>
        <v>1</v>
      </c>
      <c r="Q563" s="394">
        <f>SUM($P$4:P563)/COUNT($P$4:P563)</f>
        <v>0.53749999999999998</v>
      </c>
      <c r="S563" s="369">
        <v>16501.650000000001</v>
      </c>
      <c r="T563" s="394">
        <f t="shared" ref="T563" si="579">(S563/S562)-1</f>
        <v>5.6744841405755864E-3</v>
      </c>
      <c r="U563" s="394">
        <f t="shared" ref="U563" si="580">(S563/$S$3)-1</f>
        <v>0.92266867691676735</v>
      </c>
      <c r="V563" s="395" t="str">
        <f t="shared" ref="V563" si="581">IF(G563&gt;T563,"Yes","No")</f>
        <v>Yes</v>
      </c>
      <c r="W563" s="396">
        <f t="shared" ref="W563" si="582">IF(V563="Yes",1,0)</f>
        <v>1</v>
      </c>
      <c r="X563" s="394">
        <f>SUM($W$478:W563)/COUNT($W$478:W563)</f>
        <v>0.55813953488372092</v>
      </c>
    </row>
    <row r="564" spans="1:27" x14ac:dyDescent="0.15">
      <c r="A564" s="384">
        <f t="shared" si="209"/>
        <v>562</v>
      </c>
      <c r="B564" s="401">
        <f t="shared" si="237"/>
        <v>41760</v>
      </c>
      <c r="D564" s="390">
        <v>62601.628210000003</v>
      </c>
      <c r="E564" s="387">
        <f t="shared" ref="E564" si="583">D564</f>
        <v>62601.628210000003</v>
      </c>
      <c r="F564" s="387">
        <f t="shared" ref="F564" si="584">E564-E563</f>
        <v>-183.66259999998874</v>
      </c>
      <c r="G564" s="388">
        <f t="shared" ref="G564" si="585">(E564/E563)-1</f>
        <v>-2.9252488541589017E-3</v>
      </c>
      <c r="H564" s="387">
        <f t="shared" ref="H564" si="586">E564-$D$3</f>
        <v>39745.778210000004</v>
      </c>
      <c r="I564" s="388">
        <f t="shared" ref="I564" si="587">(E564/$D$3)-1</f>
        <v>1.7389761575264102</v>
      </c>
      <c r="L564" s="369">
        <v>1883.68</v>
      </c>
      <c r="M564" s="394">
        <f t="shared" ref="M564" si="588">(L564/L563)-1</f>
        <v>2.6988039028856825E-3</v>
      </c>
      <c r="N564" s="394">
        <f t="shared" ref="N564" si="589">(L564/$L$3)-1</f>
        <v>1.0252881472561501</v>
      </c>
      <c r="O564" s="395" t="str">
        <f t="shared" ref="O564" si="590">IF(G564&gt;M564,"Yes","No")</f>
        <v>No</v>
      </c>
      <c r="P564" s="396">
        <f t="shared" ref="P564" si="591">IF(O564="Yes",1,0)</f>
        <v>0</v>
      </c>
      <c r="Q564" s="394">
        <f>SUM($P$4:P564)/COUNT($P$4:P564)</f>
        <v>0.53654188948306591</v>
      </c>
      <c r="S564" s="369">
        <v>16558.87</v>
      </c>
      <c r="T564" s="394">
        <f t="shared" ref="T564" si="592">(S564/S563)-1</f>
        <v>3.4675320346750915E-3</v>
      </c>
      <c r="U564" s="394">
        <f t="shared" ref="U564" si="593">(S564/$S$3)-1</f>
        <v>0.92933559214604267</v>
      </c>
      <c r="V564" s="395" t="str">
        <f t="shared" ref="V564" si="594">IF(G564&gt;T564,"Yes","No")</f>
        <v>No</v>
      </c>
      <c r="W564" s="396">
        <f t="shared" ref="W564" si="595">IF(V564="Yes",1,0)</f>
        <v>0</v>
      </c>
      <c r="X564" s="394">
        <f>SUM($W$478:W564)/COUNT($W$478:W564)</f>
        <v>0.55172413793103448</v>
      </c>
      <c r="Z564" s="464">
        <v>4127.45</v>
      </c>
    </row>
    <row r="565" spans="1:27" x14ac:dyDescent="0.15">
      <c r="A565" s="384">
        <f t="shared" si="209"/>
        <v>563</v>
      </c>
      <c r="B565" s="401">
        <f t="shared" si="237"/>
        <v>41767</v>
      </c>
      <c r="D565" s="390">
        <v>60637.962699999996</v>
      </c>
      <c r="E565" s="387">
        <f t="shared" ref="E565" si="596">D565</f>
        <v>60637.962699999996</v>
      </c>
      <c r="F565" s="387">
        <f t="shared" ref="F565" si="597">E565-E564</f>
        <v>-1963.6655100000062</v>
      </c>
      <c r="G565" s="388">
        <f t="shared" ref="G565" si="598">(E565/E564)-1</f>
        <v>-3.1367642761827241E-2</v>
      </c>
      <c r="H565" s="387">
        <f t="shared" ref="H565:H582" si="599">E565-$D$3</f>
        <v>37782.112699999998</v>
      </c>
      <c r="I565" s="388">
        <f t="shared" ref="I565" si="600">(E565/$D$3)-1</f>
        <v>1.6530609318839597</v>
      </c>
      <c r="L565" s="369">
        <v>1875.63</v>
      </c>
      <c r="M565" s="394">
        <f t="shared" ref="M565:M581" si="601">(L565/L564)-1</f>
        <v>-4.2735496474984869E-3</v>
      </c>
      <c r="N565" s="394">
        <f t="shared" ref="N565:N582" si="602">(L565/$L$3)-1</f>
        <v>1.0166329778083605</v>
      </c>
      <c r="O565" s="395" t="str">
        <f t="shared" ref="O565" si="603">IF(G565&gt;M565,"Yes","No")</f>
        <v>No</v>
      </c>
      <c r="P565" s="396">
        <f t="shared" ref="P565" si="604">IF(O565="Yes",1,0)</f>
        <v>0</v>
      </c>
      <c r="Q565" s="394">
        <f>SUM($P$4:P565)/COUNT($P$4:P565)</f>
        <v>0.53558718861209964</v>
      </c>
      <c r="S565" s="369">
        <v>16550.97</v>
      </c>
      <c r="T565" s="394">
        <f t="shared" ref="T565:T581" si="605">(S565/S564)-1</f>
        <v>-4.7708569485704899E-4</v>
      </c>
      <c r="U565" s="394">
        <f t="shared" ref="U565:U582" si="606">(S565/$S$3)-1</f>
        <v>0.92841513373445128</v>
      </c>
      <c r="V565" s="395" t="str">
        <f t="shared" ref="V565:V582" si="607">IF(G565&gt;T565,"Yes","No")</f>
        <v>No</v>
      </c>
      <c r="W565" s="396">
        <f t="shared" ref="W565" si="608">IF(V565="Yes",1,0)</f>
        <v>0</v>
      </c>
      <c r="X565" s="394">
        <f>SUM($W$478:W565)/COUNT($W$478:W565)</f>
        <v>0.54545454545454541</v>
      </c>
      <c r="Z565" s="464">
        <v>4051.5</v>
      </c>
      <c r="AA565" s="465">
        <f>(Z565-Z564)/Z564</f>
        <v>-1.8401192019285473E-2</v>
      </c>
    </row>
    <row r="566" spans="1:27" x14ac:dyDescent="0.15">
      <c r="A566" s="384">
        <f t="shared" si="209"/>
        <v>564</v>
      </c>
      <c r="B566" s="401">
        <f t="shared" si="237"/>
        <v>41774</v>
      </c>
      <c r="D566" s="390">
        <f>D565*(1+$AA566)</f>
        <v>60904.221951248415</v>
      </c>
      <c r="E566" s="387">
        <f t="shared" ref="E566:E580" si="609">D566</f>
        <v>60904.221951248415</v>
      </c>
      <c r="F566" s="387">
        <f t="shared" ref="F566:F580" si="610">E566-E565</f>
        <v>266.25925124841888</v>
      </c>
      <c r="G566" s="388">
        <f t="shared" ref="G566:G580" si="611">(E566/E565)-1</f>
        <v>4.3909663087744466E-3</v>
      </c>
      <c r="H566" s="387">
        <f t="shared" ref="H566:H580" si="612">E566-$D$3</f>
        <v>38048.371951248417</v>
      </c>
      <c r="I566" s="388">
        <f t="shared" ref="I566:I580" si="613">(E566/$D$3)-1</f>
        <v>1.6647104330509879</v>
      </c>
      <c r="L566" s="369">
        <v>1870.85</v>
      </c>
      <c r="M566" s="394">
        <f t="shared" si="601"/>
        <v>-2.548477045046349E-3</v>
      </c>
      <c r="N566" s="394">
        <f t="shared" si="602"/>
        <v>1.0114936349561328</v>
      </c>
      <c r="O566" s="395" t="str">
        <f t="shared" ref="O566:O580" si="614">IF(G566&gt;M566,"Yes","No")</f>
        <v>Yes</v>
      </c>
      <c r="P566" s="396">
        <f t="shared" ref="P566:P580" si="615">IF(O566="Yes",1,0)</f>
        <v>1</v>
      </c>
      <c r="Q566" s="394">
        <f>SUM($P$4:P566)/COUNT($P$4:P566)</f>
        <v>0.53641207815275316</v>
      </c>
      <c r="S566" s="369">
        <v>16446.810000000001</v>
      </c>
      <c r="T566" s="394">
        <f t="shared" si="605"/>
        <v>-6.2932867378769908E-3</v>
      </c>
      <c r="U566" s="394">
        <f t="shared" si="606"/>
        <v>0.91627906434819906</v>
      </c>
      <c r="V566" s="395" t="str">
        <f t="shared" ref="V566:V580" si="616">IF(G566&gt;T566,"Yes","No")</f>
        <v>Yes</v>
      </c>
      <c r="W566" s="396">
        <f t="shared" ref="W566:W580" si="617">IF(V566="Yes",1,0)</f>
        <v>1</v>
      </c>
      <c r="X566" s="394">
        <f>SUM($W$478:W566)/COUNT($W$478:W566)</f>
        <v>0.550561797752809</v>
      </c>
      <c r="Z566" s="464">
        <v>4069.29</v>
      </c>
      <c r="AA566" s="465">
        <f t="shared" ref="AA566:AA611" si="618">(Z566-Z565)/Z565</f>
        <v>4.3909663087745186E-3</v>
      </c>
    </row>
    <row r="567" spans="1:27" x14ac:dyDescent="0.15">
      <c r="A567" s="384">
        <f t="shared" si="209"/>
        <v>565</v>
      </c>
      <c r="B567" s="401">
        <f t="shared" si="237"/>
        <v>41781</v>
      </c>
      <c r="D567" s="390">
        <f t="shared" ref="D567:D580" si="619">D566*(1+$AA567)</f>
        <v>62177.147713962222</v>
      </c>
      <c r="E567" s="387">
        <f t="shared" si="609"/>
        <v>62177.147713962222</v>
      </c>
      <c r="F567" s="387">
        <f t="shared" si="610"/>
        <v>1272.9257627138068</v>
      </c>
      <c r="G567" s="388">
        <f t="shared" si="611"/>
        <v>2.0900451921588292E-2</v>
      </c>
      <c r="H567" s="387">
        <f t="shared" si="612"/>
        <v>39321.297713962223</v>
      </c>
      <c r="I567" s="388">
        <f t="shared" si="613"/>
        <v>1.7204040853419245</v>
      </c>
      <c r="L567" s="369">
        <v>1892.49</v>
      </c>
      <c r="M567" s="394">
        <f t="shared" si="601"/>
        <v>1.156693481572546E-2</v>
      </c>
      <c r="N567" s="394">
        <f t="shared" si="602"/>
        <v>1.0347604507139172</v>
      </c>
      <c r="O567" s="395" t="str">
        <f t="shared" si="614"/>
        <v>Yes</v>
      </c>
      <c r="P567" s="396">
        <f t="shared" si="615"/>
        <v>1</v>
      </c>
      <c r="Q567" s="394">
        <f>SUM($P$4:P567)/COUNT($P$4:P567)</f>
        <v>0.53723404255319152</v>
      </c>
      <c r="S567" s="369">
        <v>16543.080000000002</v>
      </c>
      <c r="T567" s="394">
        <f t="shared" si="605"/>
        <v>5.8534147351370081E-3</v>
      </c>
      <c r="U567" s="394">
        <f t="shared" si="606"/>
        <v>0.92749584046008948</v>
      </c>
      <c r="V567" s="395" t="str">
        <f t="shared" si="616"/>
        <v>Yes</v>
      </c>
      <c r="W567" s="396">
        <f t="shared" si="617"/>
        <v>1</v>
      </c>
      <c r="X567" s="394">
        <f>SUM($W$478:W567)/COUNT($W$478:W567)</f>
        <v>0.55555555555555558</v>
      </c>
      <c r="Z567" s="464">
        <v>4154.34</v>
      </c>
      <c r="AA567" s="465">
        <f t="shared" si="618"/>
        <v>2.090045192158833E-2</v>
      </c>
    </row>
    <row r="568" spans="1:27" x14ac:dyDescent="0.15">
      <c r="A568" s="384">
        <f t="shared" si="209"/>
        <v>566</v>
      </c>
      <c r="B568" s="401">
        <f t="shared" si="237"/>
        <v>41788</v>
      </c>
      <c r="D568" s="390">
        <f t="shared" si="619"/>
        <v>63578.18922657409</v>
      </c>
      <c r="E568" s="387">
        <f t="shared" si="609"/>
        <v>63578.18922657409</v>
      </c>
      <c r="F568" s="387">
        <f t="shared" si="610"/>
        <v>1401.0415126118678</v>
      </c>
      <c r="G568" s="388">
        <f t="shared" si="611"/>
        <v>2.2533061810058763E-2</v>
      </c>
      <c r="H568" s="387">
        <f t="shared" si="612"/>
        <v>40722.339226574091</v>
      </c>
      <c r="I568" s="388">
        <f t="shared" si="613"/>
        <v>1.7817031187452708</v>
      </c>
      <c r="L568" s="369">
        <v>1920.03</v>
      </c>
      <c r="M568" s="394">
        <f t="shared" si="601"/>
        <v>1.4552256550893317E-2</v>
      </c>
      <c r="N568" s="394">
        <f t="shared" si="602"/>
        <v>1.0643708068123172</v>
      </c>
      <c r="O568" s="395" t="str">
        <f t="shared" si="614"/>
        <v>Yes</v>
      </c>
      <c r="P568" s="396">
        <f t="shared" si="615"/>
        <v>1</v>
      </c>
      <c r="Q568" s="394">
        <f>SUM($P$4:P568)/COUNT($P$4:P568)</f>
        <v>0.53805309734513274</v>
      </c>
      <c r="S568" s="369">
        <v>16698.740000000002</v>
      </c>
      <c r="T568" s="394">
        <f t="shared" si="605"/>
        <v>9.4093723780577232E-3</v>
      </c>
      <c r="U568" s="394">
        <f t="shared" si="606"/>
        <v>0.94563236658013583</v>
      </c>
      <c r="V568" s="395" t="str">
        <f t="shared" si="616"/>
        <v>Yes</v>
      </c>
      <c r="W568" s="396">
        <f t="shared" si="617"/>
        <v>1</v>
      </c>
      <c r="X568" s="394">
        <f>SUM($W$478:W568)/COUNT($W$478:W568)</f>
        <v>0.56043956043956045</v>
      </c>
      <c r="Z568" s="464">
        <v>4247.95</v>
      </c>
      <c r="AA568" s="465">
        <f t="shared" si="618"/>
        <v>2.2533061810058798E-2</v>
      </c>
    </row>
    <row r="569" spans="1:27" x14ac:dyDescent="0.15">
      <c r="A569" s="384">
        <f t="shared" si="209"/>
        <v>567</v>
      </c>
      <c r="B569" s="401">
        <f t="shared" si="237"/>
        <v>41795</v>
      </c>
      <c r="D569" s="390">
        <f t="shared" si="619"/>
        <v>64300.786002868299</v>
      </c>
      <c r="E569" s="387">
        <f t="shared" si="609"/>
        <v>64300.786002868299</v>
      </c>
      <c r="F569" s="387">
        <f t="shared" si="610"/>
        <v>722.59677629420912</v>
      </c>
      <c r="G569" s="388">
        <f t="shared" si="611"/>
        <v>1.1365482173754327E-2</v>
      </c>
      <c r="H569" s="387">
        <f t="shared" si="612"/>
        <v>41444.9360028683</v>
      </c>
      <c r="I569" s="388">
        <f t="shared" si="613"/>
        <v>1.8133185159540468</v>
      </c>
      <c r="L569" s="369">
        <v>1940.46</v>
      </c>
      <c r="M569" s="394">
        <f t="shared" si="601"/>
        <v>1.0640458742832148E-2</v>
      </c>
      <c r="N569" s="394">
        <f t="shared" si="602"/>
        <v>1.0863366592121109</v>
      </c>
      <c r="O569" s="395" t="str">
        <f t="shared" si="614"/>
        <v>Yes</v>
      </c>
      <c r="P569" s="396">
        <f t="shared" si="615"/>
        <v>1</v>
      </c>
      <c r="Q569" s="394">
        <f>SUM($P$4:P569)/COUNT($P$4:P569)</f>
        <v>0.53886925795053009</v>
      </c>
      <c r="S569" s="369">
        <v>16836.11</v>
      </c>
      <c r="T569" s="394">
        <f t="shared" si="605"/>
        <v>8.2263691751591761E-3</v>
      </c>
      <c r="U569" s="394">
        <f t="shared" si="606"/>
        <v>0.96163785670676294</v>
      </c>
      <c r="V569" s="395" t="str">
        <f t="shared" si="616"/>
        <v>Yes</v>
      </c>
      <c r="W569" s="396">
        <f t="shared" si="617"/>
        <v>1</v>
      </c>
      <c r="X569" s="394">
        <f>SUM($W$478:W569)/COUNT($W$478:W569)</f>
        <v>0.56521739130434778</v>
      </c>
      <c r="Z569" s="464">
        <v>4296.2299999999996</v>
      </c>
      <c r="AA569" s="465">
        <f t="shared" si="618"/>
        <v>1.136548217375434E-2</v>
      </c>
    </row>
    <row r="570" spans="1:27" x14ac:dyDescent="0.15">
      <c r="A570" s="384">
        <f t="shared" si="209"/>
        <v>568</v>
      </c>
      <c r="B570" s="401">
        <f t="shared" si="237"/>
        <v>41802</v>
      </c>
      <c r="D570" s="390">
        <f t="shared" si="619"/>
        <v>64321.739513365646</v>
      </c>
      <c r="E570" s="387">
        <f t="shared" si="609"/>
        <v>64321.739513365646</v>
      </c>
      <c r="F570" s="387">
        <f t="shared" si="610"/>
        <v>20.953510497347452</v>
      </c>
      <c r="G570" s="388">
        <f t="shared" si="611"/>
        <v>3.2586709743198661E-4</v>
      </c>
      <c r="H570" s="387">
        <f t="shared" si="612"/>
        <v>41465.889513365648</v>
      </c>
      <c r="I570" s="388">
        <f t="shared" si="613"/>
        <v>1.8142352838929923</v>
      </c>
      <c r="L570" s="369">
        <v>1930.11</v>
      </c>
      <c r="M570" s="394">
        <f t="shared" si="601"/>
        <v>-5.3337868340497252E-3</v>
      </c>
      <c r="N570" s="394">
        <f t="shared" si="602"/>
        <v>1.0752085842078101</v>
      </c>
      <c r="O570" s="395" t="str">
        <f t="shared" si="614"/>
        <v>Yes</v>
      </c>
      <c r="P570" s="396">
        <f t="shared" si="615"/>
        <v>1</v>
      </c>
      <c r="Q570" s="394">
        <f>SUM($P$4:P570)/COUNT($P$4:P570)</f>
        <v>0.53968253968253965</v>
      </c>
      <c r="S570" s="369">
        <v>16734.189999999999</v>
      </c>
      <c r="T570" s="394">
        <f t="shared" si="605"/>
        <v>-6.0536549119720728E-3</v>
      </c>
      <c r="U570" s="394">
        <f t="shared" si="606"/>
        <v>0.94976277805999976</v>
      </c>
      <c r="V570" s="395" t="str">
        <f t="shared" si="616"/>
        <v>Yes</v>
      </c>
      <c r="W570" s="396">
        <f t="shared" si="617"/>
        <v>1</v>
      </c>
      <c r="X570" s="394">
        <f>SUM($W$478:W570)/COUNT($W$478:W570)</f>
        <v>0.56989247311827962</v>
      </c>
      <c r="Z570" s="464">
        <v>4297.63</v>
      </c>
      <c r="AA570" s="465">
        <f t="shared" si="618"/>
        <v>3.2586709743206158E-4</v>
      </c>
    </row>
    <row r="571" spans="1:27" x14ac:dyDescent="0.15">
      <c r="A571" s="384">
        <f t="shared" si="209"/>
        <v>569</v>
      </c>
      <c r="B571" s="401">
        <f t="shared" si="237"/>
        <v>41809</v>
      </c>
      <c r="D571" s="390">
        <f t="shared" si="619"/>
        <v>65245.190654570142</v>
      </c>
      <c r="E571" s="387">
        <f t="shared" si="609"/>
        <v>65245.190654570142</v>
      </c>
      <c r="F571" s="387">
        <f t="shared" si="610"/>
        <v>923.4511412044958</v>
      </c>
      <c r="G571" s="388">
        <f t="shared" si="611"/>
        <v>1.4356750115761541E-2</v>
      </c>
      <c r="H571" s="387">
        <f t="shared" si="612"/>
        <v>42389.340654570144</v>
      </c>
      <c r="I571" s="388">
        <f t="shared" si="613"/>
        <v>1.8546385566308032</v>
      </c>
      <c r="L571" s="369">
        <v>1959.48</v>
      </c>
      <c r="M571" s="394">
        <f t="shared" si="601"/>
        <v>1.5216749304443944E-2</v>
      </c>
      <c r="N571" s="394">
        <f t="shared" si="602"/>
        <v>1.1067865129881298</v>
      </c>
      <c r="O571" s="395" t="str">
        <f t="shared" si="614"/>
        <v>No</v>
      </c>
      <c r="P571" s="396">
        <f t="shared" si="615"/>
        <v>0</v>
      </c>
      <c r="Q571" s="394">
        <f>SUM($P$4:P571)/COUNT($P$4:P571)</f>
        <v>0.53873239436619713</v>
      </c>
      <c r="S571" s="369">
        <v>16921.46</v>
      </c>
      <c r="T571" s="394">
        <f t="shared" si="605"/>
        <v>1.1190861344349434E-2</v>
      </c>
      <c r="U571" s="394">
        <f t="shared" si="606"/>
        <v>0.97158230296364279</v>
      </c>
      <c r="V571" s="395" t="str">
        <f t="shared" si="616"/>
        <v>Yes</v>
      </c>
      <c r="W571" s="396">
        <f t="shared" si="617"/>
        <v>1</v>
      </c>
      <c r="X571" s="394">
        <f>SUM($W$478:W571)/COUNT($W$478:W571)</f>
        <v>0.57446808510638303</v>
      </c>
      <c r="Z571" s="464">
        <v>4359.33</v>
      </c>
      <c r="AA571" s="465">
        <f t="shared" si="618"/>
        <v>1.4356750115761435E-2</v>
      </c>
    </row>
    <row r="572" spans="1:27" x14ac:dyDescent="0.15">
      <c r="A572" s="384">
        <f t="shared" si="209"/>
        <v>570</v>
      </c>
      <c r="B572" s="401">
        <f t="shared" si="237"/>
        <v>41816</v>
      </c>
      <c r="D572" s="390">
        <f t="shared" si="619"/>
        <v>65540.335816718478</v>
      </c>
      <c r="E572" s="387">
        <f t="shared" si="609"/>
        <v>65540.335816718478</v>
      </c>
      <c r="F572" s="387">
        <f t="shared" si="610"/>
        <v>295.14516214833566</v>
      </c>
      <c r="G572" s="388">
        <f t="shared" si="611"/>
        <v>4.5236309249356843E-3</v>
      </c>
      <c r="H572" s="387">
        <f t="shared" si="612"/>
        <v>42684.485816718479</v>
      </c>
      <c r="I572" s="388">
        <f t="shared" si="613"/>
        <v>1.8675518878850923</v>
      </c>
      <c r="L572" s="369">
        <v>1957.22</v>
      </c>
      <c r="M572" s="394">
        <f t="shared" si="601"/>
        <v>-1.1533672198746903E-3</v>
      </c>
      <c r="N572" s="394">
        <f t="shared" si="602"/>
        <v>1.1043566144847756</v>
      </c>
      <c r="O572" s="395" t="str">
        <f t="shared" si="614"/>
        <v>Yes</v>
      </c>
      <c r="P572" s="396">
        <f t="shared" si="615"/>
        <v>1</v>
      </c>
      <c r="Q572" s="394">
        <f>SUM($P$4:P572)/COUNT($P$4:P572)</f>
        <v>0.53954305799648505</v>
      </c>
      <c r="S572" s="369">
        <v>16846.13</v>
      </c>
      <c r="T572" s="394">
        <f t="shared" si="605"/>
        <v>-4.4517435256767879E-3</v>
      </c>
      <c r="U572" s="394">
        <f t="shared" si="606"/>
        <v>0.96280532421108567</v>
      </c>
      <c r="V572" s="395" t="str">
        <f t="shared" si="616"/>
        <v>Yes</v>
      </c>
      <c r="W572" s="396">
        <f t="shared" si="617"/>
        <v>1</v>
      </c>
      <c r="X572" s="394">
        <f>SUM($W$478:W572)/COUNT($W$478:W572)</f>
        <v>0.57894736842105265</v>
      </c>
      <c r="Z572" s="464">
        <v>4379.05</v>
      </c>
      <c r="AA572" s="465">
        <f t="shared" si="618"/>
        <v>4.523630924935771E-3</v>
      </c>
    </row>
    <row r="573" spans="1:27" x14ac:dyDescent="0.15">
      <c r="A573" s="384">
        <f t="shared" si="209"/>
        <v>571</v>
      </c>
      <c r="B573" s="401">
        <f t="shared" si="237"/>
        <v>41823</v>
      </c>
      <c r="D573" s="390">
        <f t="shared" si="619"/>
        <v>67139.98667525877</v>
      </c>
      <c r="E573" s="387">
        <f t="shared" si="609"/>
        <v>67139.98667525877</v>
      </c>
      <c r="F573" s="387">
        <f t="shared" si="610"/>
        <v>1599.6508585402917</v>
      </c>
      <c r="G573" s="388">
        <f t="shared" si="611"/>
        <v>2.4407120265811155E-2</v>
      </c>
      <c r="H573" s="387">
        <f t="shared" si="612"/>
        <v>44284.136675258771</v>
      </c>
      <c r="I573" s="388">
        <f t="shared" si="613"/>
        <v>1.9375405716811569</v>
      </c>
      <c r="L573" s="369">
        <v>1985.44</v>
      </c>
      <c r="M573" s="394">
        <f t="shared" si="601"/>
        <v>1.4418409785307729E-2</v>
      </c>
      <c r="N573" s="394">
        <f t="shared" si="602"/>
        <v>1.13469809048684</v>
      </c>
      <c r="O573" s="395" t="str">
        <f t="shared" si="614"/>
        <v>Yes</v>
      </c>
      <c r="P573" s="396">
        <f t="shared" si="615"/>
        <v>1</v>
      </c>
      <c r="Q573" s="394">
        <f>SUM($P$4:P573)/COUNT($P$4:P573)</f>
        <v>0.54035087719298247</v>
      </c>
      <c r="S573" s="369">
        <v>17068.259999999998</v>
      </c>
      <c r="T573" s="394">
        <f t="shared" si="605"/>
        <v>1.3185817751613982E-2</v>
      </c>
      <c r="U573" s="394">
        <f t="shared" si="606"/>
        <v>0.9886865174980306</v>
      </c>
      <c r="V573" s="395" t="str">
        <f t="shared" si="616"/>
        <v>Yes</v>
      </c>
      <c r="W573" s="396">
        <f t="shared" si="617"/>
        <v>1</v>
      </c>
      <c r="X573" s="394">
        <f>SUM($W$478:W573)/COUNT($W$478:W573)</f>
        <v>0.58333333333333337</v>
      </c>
      <c r="Z573" s="464">
        <v>4485.93</v>
      </c>
      <c r="AA573" s="465">
        <f t="shared" si="618"/>
        <v>2.4407120265811103E-2</v>
      </c>
    </row>
    <row r="574" spans="1:27" x14ac:dyDescent="0.15">
      <c r="A574" s="384">
        <f t="shared" si="209"/>
        <v>572</v>
      </c>
      <c r="B574" s="401">
        <f t="shared" si="237"/>
        <v>41830</v>
      </c>
      <c r="D574" s="390">
        <f t="shared" si="619"/>
        <v>65797.01632031097</v>
      </c>
      <c r="E574" s="387">
        <f t="shared" si="609"/>
        <v>65797.01632031097</v>
      </c>
      <c r="F574" s="387">
        <f t="shared" si="610"/>
        <v>-1342.9703549477999</v>
      </c>
      <c r="G574" s="388">
        <f t="shared" si="611"/>
        <v>-2.0002541279065977E-2</v>
      </c>
      <c r="H574" s="387">
        <f t="shared" si="612"/>
        <v>42941.166320310971</v>
      </c>
      <c r="I574" s="388">
        <f t="shared" si="613"/>
        <v>1.878782295137174</v>
      </c>
      <c r="L574" s="369">
        <v>1964.68</v>
      </c>
      <c r="M574" s="394">
        <f t="shared" si="601"/>
        <v>-1.0456120557659765E-2</v>
      </c>
      <c r="N574" s="394">
        <f t="shared" si="602"/>
        <v>1.1123774298985034</v>
      </c>
      <c r="O574" s="395" t="str">
        <f t="shared" si="614"/>
        <v>No</v>
      </c>
      <c r="P574" s="396">
        <f t="shared" si="615"/>
        <v>0</v>
      </c>
      <c r="Q574" s="394">
        <f>SUM($P$4:P574)/COUNT($P$4:P574)</f>
        <v>0.53940455341506133</v>
      </c>
      <c r="S574" s="369">
        <v>16915.07</v>
      </c>
      <c r="T574" s="394">
        <f t="shared" si="605"/>
        <v>-8.9751386491651042E-3</v>
      </c>
      <c r="U574" s="394">
        <f t="shared" si="606"/>
        <v>0.97083778027376044</v>
      </c>
      <c r="V574" s="395" t="str">
        <f t="shared" si="616"/>
        <v>No</v>
      </c>
      <c r="W574" s="396">
        <f t="shared" si="617"/>
        <v>0</v>
      </c>
      <c r="X574" s="394">
        <f>SUM($W$478:W574)/COUNT($W$478:W574)</f>
        <v>0.57731958762886593</v>
      </c>
      <c r="Z574" s="464">
        <v>4396.2</v>
      </c>
      <c r="AA574" s="465">
        <f t="shared" si="618"/>
        <v>-2.0002541279065984E-2</v>
      </c>
    </row>
    <row r="575" spans="1:27" x14ac:dyDescent="0.15">
      <c r="A575" s="384">
        <f t="shared" si="209"/>
        <v>573</v>
      </c>
      <c r="B575" s="401">
        <f t="shared" si="237"/>
        <v>41837</v>
      </c>
      <c r="D575" s="390">
        <f t="shared" si="619"/>
        <v>65306.853842605182</v>
      </c>
      <c r="E575" s="387">
        <f t="shared" si="609"/>
        <v>65306.853842605182</v>
      </c>
      <c r="F575" s="387">
        <f t="shared" si="610"/>
        <v>-490.16247770578775</v>
      </c>
      <c r="G575" s="388">
        <f t="shared" si="611"/>
        <v>-7.4496155770893413E-3</v>
      </c>
      <c r="H575" s="387">
        <f t="shared" si="612"/>
        <v>42451.003842605183</v>
      </c>
      <c r="I575" s="388">
        <f t="shared" si="613"/>
        <v>1.8573364737082709</v>
      </c>
      <c r="L575" s="369">
        <v>1958.12</v>
      </c>
      <c r="M575" s="394">
        <f t="shared" si="601"/>
        <v>-3.3389661420690775E-3</v>
      </c>
      <c r="N575" s="394">
        <f t="shared" si="602"/>
        <v>1.1053242731808015</v>
      </c>
      <c r="O575" s="395" t="str">
        <f t="shared" si="614"/>
        <v>No</v>
      </c>
      <c r="P575" s="396">
        <f t="shared" si="615"/>
        <v>0</v>
      </c>
      <c r="Q575" s="394">
        <f>SUM($P$4:P575)/COUNT($P$4:P575)</f>
        <v>0.53846153846153844</v>
      </c>
      <c r="S575" s="369">
        <v>16979.810000000001</v>
      </c>
      <c r="T575" s="394">
        <f t="shared" si="605"/>
        <v>3.8273563159951784E-3</v>
      </c>
      <c r="U575" s="394">
        <f t="shared" si="606"/>
        <v>0.97838087869989332</v>
      </c>
      <c r="V575" s="395" t="str">
        <f t="shared" si="616"/>
        <v>No</v>
      </c>
      <c r="W575" s="396">
        <f t="shared" si="617"/>
        <v>0</v>
      </c>
      <c r="X575" s="394">
        <f>SUM($W$478:W575)/COUNT($W$478:W575)</f>
        <v>0.5714285714285714</v>
      </c>
      <c r="Z575" s="464">
        <v>4363.45</v>
      </c>
      <c r="AA575" s="465">
        <f t="shared" si="618"/>
        <v>-7.4496155770893049E-3</v>
      </c>
    </row>
    <row r="576" spans="1:27" x14ac:dyDescent="0.15">
      <c r="A576" s="384">
        <f t="shared" si="209"/>
        <v>574</v>
      </c>
      <c r="B576" s="401">
        <f t="shared" si="237"/>
        <v>41844</v>
      </c>
      <c r="D576" s="390">
        <f t="shared" si="619"/>
        <v>66933.145593063527</v>
      </c>
      <c r="E576" s="387">
        <f t="shared" si="609"/>
        <v>66933.145593063527</v>
      </c>
      <c r="F576" s="387">
        <f t="shared" si="610"/>
        <v>1626.2917504583456</v>
      </c>
      <c r="G576" s="388">
        <f t="shared" si="611"/>
        <v>2.4902313536307341E-2</v>
      </c>
      <c r="H576" s="387">
        <f t="shared" si="612"/>
        <v>44077.295593063529</v>
      </c>
      <c r="I576" s="388">
        <f t="shared" si="613"/>
        <v>1.9284907624552807</v>
      </c>
      <c r="L576" s="369">
        <v>1987.98</v>
      </c>
      <c r="M576" s="394">
        <f t="shared" si="601"/>
        <v>1.5249320777071862E-2</v>
      </c>
      <c r="N576" s="394">
        <f t="shared" si="602"/>
        <v>1.1374290383622911</v>
      </c>
      <c r="O576" s="395" t="str">
        <f t="shared" si="614"/>
        <v>Yes</v>
      </c>
      <c r="P576" s="396">
        <f t="shared" si="615"/>
        <v>1</v>
      </c>
      <c r="Q576" s="394">
        <f>SUM($P$4:P576)/COUNT($P$4:P576)</f>
        <v>0.53926701570680624</v>
      </c>
      <c r="S576" s="369">
        <v>17083.8</v>
      </c>
      <c r="T576" s="394">
        <f t="shared" si="605"/>
        <v>6.1243323688544571E-3</v>
      </c>
      <c r="U576" s="394">
        <f t="shared" si="606"/>
        <v>0.99049714075323769</v>
      </c>
      <c r="V576" s="395" t="str">
        <f t="shared" si="616"/>
        <v>Yes</v>
      </c>
      <c r="W576" s="396">
        <f t="shared" si="617"/>
        <v>1</v>
      </c>
      <c r="X576" s="394">
        <f>SUM($W$478:W576)/COUNT($W$478:W576)</f>
        <v>0.5757575757575758</v>
      </c>
      <c r="Z576" s="464">
        <v>4472.1099999999997</v>
      </c>
      <c r="AA576" s="465">
        <f t="shared" si="618"/>
        <v>2.4902313536307247E-2</v>
      </c>
    </row>
    <row r="577" spans="1:27" x14ac:dyDescent="0.15">
      <c r="A577" s="384">
        <f t="shared" si="209"/>
        <v>575</v>
      </c>
      <c r="B577" s="401">
        <f t="shared" si="237"/>
        <v>41851</v>
      </c>
      <c r="D577" s="390">
        <f t="shared" si="619"/>
        <v>65401.443975707502</v>
      </c>
      <c r="E577" s="387">
        <f t="shared" si="609"/>
        <v>65401.443975707502</v>
      </c>
      <c r="F577" s="387">
        <f t="shared" si="610"/>
        <v>-1531.701617356026</v>
      </c>
      <c r="G577" s="388">
        <f t="shared" si="611"/>
        <v>-2.2884052494236307E-2</v>
      </c>
      <c r="H577" s="387">
        <f t="shared" si="612"/>
        <v>42545.593975707503</v>
      </c>
      <c r="I577" s="388">
        <f t="shared" si="613"/>
        <v>1.8614750261183683</v>
      </c>
      <c r="L577" s="369">
        <v>1930.67</v>
      </c>
      <c r="M577" s="394">
        <f t="shared" si="601"/>
        <v>-2.8828257829555559E-2</v>
      </c>
      <c r="N577" s="394">
        <f t="shared" si="602"/>
        <v>1.075810682952004</v>
      </c>
      <c r="O577" s="395" t="str">
        <f t="shared" si="614"/>
        <v>Yes</v>
      </c>
      <c r="P577" s="396">
        <f t="shared" si="615"/>
        <v>1</v>
      </c>
      <c r="Q577" s="394">
        <f>SUM($P$4:P577)/COUNT($P$4:P577)</f>
        <v>0.54006968641114983</v>
      </c>
      <c r="S577" s="369">
        <v>16563.3</v>
      </c>
      <c r="T577" s="394">
        <f t="shared" si="605"/>
        <v>-3.0467460401081725E-2</v>
      </c>
      <c r="U577" s="394">
        <f t="shared" si="606"/>
        <v>0.92985174793887215</v>
      </c>
      <c r="V577" s="395" t="str">
        <f t="shared" si="616"/>
        <v>Yes</v>
      </c>
      <c r="W577" s="396">
        <f t="shared" si="617"/>
        <v>1</v>
      </c>
      <c r="X577" s="394">
        <f>SUM($W$478:W577)/COUNT($W$478:W577)</f>
        <v>0.57999999999999996</v>
      </c>
      <c r="Z577" s="464">
        <v>4369.7700000000004</v>
      </c>
      <c r="AA577" s="465">
        <f t="shared" si="618"/>
        <v>-2.2884052494236331E-2</v>
      </c>
    </row>
    <row r="578" spans="1:27" x14ac:dyDescent="0.15">
      <c r="A578" s="384">
        <f t="shared" si="209"/>
        <v>576</v>
      </c>
      <c r="B578" s="401">
        <f t="shared" si="237"/>
        <v>41858</v>
      </c>
      <c r="D578" s="390">
        <f t="shared" si="619"/>
        <v>64880.599571916311</v>
      </c>
      <c r="E578" s="387">
        <f t="shared" si="609"/>
        <v>64880.599571916311</v>
      </c>
      <c r="F578" s="387">
        <f t="shared" si="610"/>
        <v>-520.84440379119042</v>
      </c>
      <c r="G578" s="388">
        <f t="shared" si="611"/>
        <v>-7.963805875366492E-3</v>
      </c>
      <c r="H578" s="387">
        <f t="shared" si="612"/>
        <v>42024.749571916313</v>
      </c>
      <c r="I578" s="388">
        <f t="shared" si="613"/>
        <v>1.8386867944931522</v>
      </c>
      <c r="L578" s="369">
        <v>1909.57</v>
      </c>
      <c r="M578" s="394">
        <f t="shared" si="601"/>
        <v>-1.0928848534446645E-2</v>
      </c>
      <c r="N578" s="394">
        <f t="shared" si="602"/>
        <v>1.0531244624118354</v>
      </c>
      <c r="O578" s="395" t="str">
        <f t="shared" si="614"/>
        <v>Yes</v>
      </c>
      <c r="P578" s="396">
        <f t="shared" si="615"/>
        <v>1</v>
      </c>
      <c r="Q578" s="394">
        <f>SUM($P$4:P578)/COUNT($P$4:P578)</f>
        <v>0.54086956521739127</v>
      </c>
      <c r="S578" s="369">
        <v>16368.27</v>
      </c>
      <c r="T578" s="394">
        <f t="shared" si="605"/>
        <v>-1.1774827480031114E-2</v>
      </c>
      <c r="U578" s="394">
        <f t="shared" si="606"/>
        <v>0.9071280765448555</v>
      </c>
      <c r="V578" s="395" t="str">
        <f t="shared" si="616"/>
        <v>Yes</v>
      </c>
      <c r="W578" s="396">
        <f t="shared" si="617"/>
        <v>1</v>
      </c>
      <c r="X578" s="394">
        <f>SUM($W$478:W578)/COUNT($W$478:W578)</f>
        <v>0.58415841584158412</v>
      </c>
      <c r="Z578" s="464">
        <v>4334.97</v>
      </c>
      <c r="AA578" s="465">
        <f t="shared" si="618"/>
        <v>-7.9638058753664781E-3</v>
      </c>
    </row>
    <row r="579" spans="1:27" x14ac:dyDescent="0.15">
      <c r="A579" s="384">
        <f t="shared" si="209"/>
        <v>577</v>
      </c>
      <c r="B579" s="401">
        <f t="shared" si="237"/>
        <v>41865</v>
      </c>
      <c r="D579" s="390">
        <f t="shared" si="619"/>
        <v>66647.130174774764</v>
      </c>
      <c r="E579" s="387">
        <f t="shared" si="609"/>
        <v>66647.130174774764</v>
      </c>
      <c r="F579" s="387">
        <f t="shared" si="610"/>
        <v>1766.5306028584528</v>
      </c>
      <c r="G579" s="388">
        <f t="shared" si="611"/>
        <v>2.7227408724858515E-2</v>
      </c>
      <c r="H579" s="387">
        <f t="shared" si="612"/>
        <v>43791.280174774765</v>
      </c>
      <c r="I579" s="388">
        <f t="shared" si="613"/>
        <v>1.9159768800886763</v>
      </c>
      <c r="L579" s="369">
        <v>1955.18</v>
      </c>
      <c r="M579" s="394">
        <f t="shared" si="601"/>
        <v>2.388495839377458E-2</v>
      </c>
      <c r="N579" s="394">
        <f t="shared" si="602"/>
        <v>1.102163254773783</v>
      </c>
      <c r="O579" s="395" t="str">
        <f t="shared" si="614"/>
        <v>Yes</v>
      </c>
      <c r="P579" s="396">
        <f t="shared" si="615"/>
        <v>1</v>
      </c>
      <c r="Q579" s="394">
        <f>SUM($P$4:P579)/COUNT($P$4:P579)</f>
        <v>0.54166666666666663</v>
      </c>
      <c r="S579" s="369">
        <v>16713.580000000002</v>
      </c>
      <c r="T579" s="394">
        <f t="shared" si="605"/>
        <v>2.1096304007693023E-2</v>
      </c>
      <c r="U579" s="394">
        <f t="shared" si="606"/>
        <v>0.94736143022925257</v>
      </c>
      <c r="V579" s="395" t="str">
        <f t="shared" si="616"/>
        <v>Yes</v>
      </c>
      <c r="W579" s="396">
        <f t="shared" si="617"/>
        <v>1</v>
      </c>
      <c r="X579" s="394">
        <f>SUM($W$478:W579)/COUNT($W$478:W579)</f>
        <v>0.58823529411764708</v>
      </c>
      <c r="Z579" s="464">
        <v>4453</v>
      </c>
      <c r="AA579" s="465">
        <f t="shared" si="618"/>
        <v>2.7227408724858473E-2</v>
      </c>
    </row>
    <row r="580" spans="1:27" x14ac:dyDescent="0.15">
      <c r="A580" s="384">
        <f t="shared" si="209"/>
        <v>578</v>
      </c>
      <c r="B580" s="401">
        <f t="shared" si="237"/>
        <v>41872</v>
      </c>
      <c r="D580" s="390">
        <f t="shared" si="619"/>
        <v>67831.003517874851</v>
      </c>
      <c r="E580" s="387">
        <f t="shared" si="609"/>
        <v>67831.003517874851</v>
      </c>
      <c r="F580" s="387">
        <f t="shared" si="610"/>
        <v>1183.8733431000874</v>
      </c>
      <c r="G580" s="388">
        <f t="shared" si="611"/>
        <v>1.7763305636649518E-2</v>
      </c>
      <c r="H580" s="387">
        <f t="shared" si="612"/>
        <v>44975.153517874853</v>
      </c>
      <c r="I580" s="388">
        <f t="shared" si="613"/>
        <v>1.9677742686390949</v>
      </c>
      <c r="L580" s="369">
        <v>1992.37</v>
      </c>
      <c r="M580" s="394">
        <f t="shared" si="601"/>
        <v>1.9021266584150709E-2</v>
      </c>
      <c r="N580" s="394">
        <f t="shared" si="602"/>
        <v>1.1421490624462409</v>
      </c>
      <c r="O580" s="395" t="str">
        <f t="shared" si="614"/>
        <v>No</v>
      </c>
      <c r="P580" s="396">
        <f t="shared" si="615"/>
        <v>0</v>
      </c>
      <c r="Q580" s="394">
        <f>SUM($P$4:P580)/COUNT($P$4:P580)</f>
        <v>0.54072790294627382</v>
      </c>
      <c r="S580" s="369">
        <v>17039.490000000002</v>
      </c>
      <c r="T580" s="394">
        <f t="shared" si="605"/>
        <v>1.9499712210071074E-2</v>
      </c>
      <c r="U580" s="394">
        <f t="shared" si="606"/>
        <v>0.98533441768771546</v>
      </c>
      <c r="V580" s="395" t="str">
        <f t="shared" si="616"/>
        <v>No</v>
      </c>
      <c r="W580" s="396">
        <f t="shared" si="617"/>
        <v>0</v>
      </c>
      <c r="X580" s="394">
        <f>SUM($W$478:W580)/COUNT($W$478:W580)</f>
        <v>0.58252427184466016</v>
      </c>
      <c r="Z580" s="464">
        <v>4532.1000000000004</v>
      </c>
      <c r="AA580" s="465">
        <f t="shared" si="618"/>
        <v>1.7763305636649532E-2</v>
      </c>
    </row>
    <row r="581" spans="1:27" x14ac:dyDescent="0.15">
      <c r="A581" s="384">
        <f t="shared" ref="A581:A644" si="620">A580+1</f>
        <v>579</v>
      </c>
      <c r="B581" s="401">
        <f t="shared" si="237"/>
        <v>41879</v>
      </c>
      <c r="D581" s="390">
        <v>63361.425660000001</v>
      </c>
      <c r="E581" s="387">
        <v>63361.425660000001</v>
      </c>
      <c r="F581" s="387">
        <f t="shared" ref="F581" si="621">E581-E580</f>
        <v>-4469.5778578748505</v>
      </c>
      <c r="G581" s="388">
        <f t="shared" ref="G581" si="622">(E581/E580)-1</f>
        <v>-6.5892845838511405E-2</v>
      </c>
      <c r="H581" s="387">
        <f t="shared" ref="H581" si="623">E581-$D$3</f>
        <v>40505.575660000002</v>
      </c>
      <c r="I581" s="388">
        <f t="shared" ref="I581" si="624">(E581/$D$3)-1</f>
        <v>1.772219176272158</v>
      </c>
      <c r="L581" s="369">
        <v>1996.74</v>
      </c>
      <c r="M581" s="394">
        <f t="shared" si="601"/>
        <v>2.1933676977670125E-3</v>
      </c>
      <c r="N581" s="394">
        <f t="shared" si="602"/>
        <v>1.1468475830036127</v>
      </c>
      <c r="O581" s="395" t="str">
        <f t="shared" ref="O581:O582" si="625">IF(G581&gt;M581,"Yes","No")</f>
        <v>No</v>
      </c>
      <c r="P581" s="396">
        <f t="shared" ref="P581:P582" si="626">IF(O581="Yes",1,0)</f>
        <v>0</v>
      </c>
      <c r="Q581" s="394">
        <f>SUM($P$4:P581)/COUNT($P$4:P581)</f>
        <v>0.53979238754325265</v>
      </c>
      <c r="S581" s="369">
        <v>17079.57</v>
      </c>
      <c r="T581" s="394">
        <f t="shared" si="605"/>
        <v>2.3521830759019036E-3</v>
      </c>
      <c r="U581" s="394">
        <f t="shared" si="606"/>
        <v>0.9900042877050057</v>
      </c>
      <c r="V581" s="395" t="str">
        <f t="shared" si="607"/>
        <v>No</v>
      </c>
      <c r="W581" s="396">
        <f t="shared" ref="W581:W582" si="627">IF(V581="Yes",1,0)</f>
        <v>0</v>
      </c>
      <c r="X581" s="394">
        <f>SUM($W$478:W581)/COUNT($W$478:W581)</f>
        <v>0.57692307692307687</v>
      </c>
      <c r="Z581" s="464">
        <v>4557.6899999999996</v>
      </c>
      <c r="AA581" s="465">
        <f t="shared" si="618"/>
        <v>5.6463890911496294E-3</v>
      </c>
    </row>
    <row r="582" spans="1:27" x14ac:dyDescent="0.15">
      <c r="A582" s="384">
        <f t="shared" si="620"/>
        <v>580</v>
      </c>
      <c r="B582" s="401">
        <f t="shared" si="237"/>
        <v>41886</v>
      </c>
      <c r="D582" s="390">
        <v>60637.962699999996</v>
      </c>
      <c r="E582" s="387">
        <v>60637.962699999996</v>
      </c>
      <c r="F582" s="387">
        <f>E582-E581</f>
        <v>-2723.4629600000044</v>
      </c>
      <c r="G582" s="388">
        <f>(E582/E581)-1</f>
        <v>-4.2982981074545568E-2</v>
      </c>
      <c r="H582" s="387">
        <f t="shared" si="599"/>
        <v>37782.112699999998</v>
      </c>
      <c r="I582" s="388">
        <f>(E582/$D$3)-1</f>
        <v>1.6530609318839597</v>
      </c>
      <c r="L582" s="369">
        <v>1997.65</v>
      </c>
      <c r="M582" s="394">
        <f>L582/L581-1</f>
        <v>4.5574286086313975E-4</v>
      </c>
      <c r="N582" s="394">
        <f t="shared" si="602"/>
        <v>1.147825993462928</v>
      </c>
      <c r="O582" s="395" t="str">
        <f t="shared" si="625"/>
        <v>No</v>
      </c>
      <c r="P582" s="396">
        <f t="shared" si="626"/>
        <v>0</v>
      </c>
      <c r="Q582" s="394">
        <f>SUM($P$4:P582)/COUNT($P$4:P582)</f>
        <v>0.53886010362694303</v>
      </c>
      <c r="S582" s="369">
        <v>17069.580000000002</v>
      </c>
      <c r="T582" s="394">
        <f>S582/S581-1</f>
        <v>-5.8490933905230857E-4</v>
      </c>
      <c r="U582" s="394">
        <f t="shared" si="606"/>
        <v>0.98884031561237307</v>
      </c>
      <c r="V582" s="395" t="str">
        <f t="shared" si="607"/>
        <v>No</v>
      </c>
      <c r="W582" s="396">
        <f t="shared" si="627"/>
        <v>0</v>
      </c>
      <c r="X582" s="394">
        <f>SUM($W$478:W582)/COUNT($W$478:W582)</f>
        <v>0.5714285714285714</v>
      </c>
      <c r="Z582" s="464">
        <v>4562.29</v>
      </c>
      <c r="AA582" s="465">
        <f t="shared" si="618"/>
        <v>1.0092832114514949E-3</v>
      </c>
    </row>
    <row r="583" spans="1:27" x14ac:dyDescent="0.15">
      <c r="A583" s="384">
        <f t="shared" si="620"/>
        <v>581</v>
      </c>
      <c r="B583" s="401">
        <f t="shared" si="237"/>
        <v>41893</v>
      </c>
      <c r="D583" s="390">
        <v>64118.22</v>
      </c>
      <c r="E583" s="387">
        <v>64118.22</v>
      </c>
      <c r="F583" s="387">
        <f>E583-E582</f>
        <v>3480.2573000000048</v>
      </c>
      <c r="G583" s="388">
        <f>(E583/E582)-1</f>
        <v>5.7394034117178583E-2</v>
      </c>
      <c r="H583" s="387">
        <f t="shared" ref="H583" si="628">E583-$D$3</f>
        <v>41262.370000000003</v>
      </c>
      <c r="I583" s="388">
        <f>(E583/$D$3)-1</f>
        <v>1.8053308015234615</v>
      </c>
      <c r="L583" s="369">
        <v>1997.45</v>
      </c>
      <c r="M583" s="394">
        <f>L583/L582-1</f>
        <v>-1.0011763822492803E-4</v>
      </c>
      <c r="N583" s="394">
        <f t="shared" ref="N583" si="629">(L583/$L$3)-1</f>
        <v>1.1476109581971441</v>
      </c>
      <c r="O583" s="395" t="str">
        <f t="shared" ref="O583" si="630">IF(G583&gt;M583,"Yes","No")</f>
        <v>Yes</v>
      </c>
      <c r="P583" s="396">
        <f t="shared" ref="P583" si="631">IF(O583="Yes",1,0)</f>
        <v>1</v>
      </c>
      <c r="Q583" s="394">
        <f>SUM($P$4:P583)/COUNT($P$4:P583)</f>
        <v>0.53965517241379313</v>
      </c>
      <c r="S583" s="369">
        <v>17049</v>
      </c>
      <c r="T583" s="394">
        <f>S583/S582-1</f>
        <v>-1.2056535661686407E-3</v>
      </c>
      <c r="U583" s="394">
        <f t="shared" ref="U583" si="632">(S583/$S$3)-1</f>
        <v>0.98644246319331486</v>
      </c>
      <c r="V583" s="395" t="str">
        <f t="shared" ref="V583" si="633">IF(G583&gt;T583,"Yes","No")</f>
        <v>Yes</v>
      </c>
      <c r="W583" s="396">
        <f t="shared" ref="W583" si="634">IF(V583="Yes",1,0)</f>
        <v>1</v>
      </c>
      <c r="X583" s="394">
        <f>SUM($W$478:W583)/COUNT($W$478:W583)</f>
        <v>0.57547169811320753</v>
      </c>
    </row>
    <row r="584" spans="1:27" x14ac:dyDescent="0.15">
      <c r="A584" s="384">
        <f t="shared" si="620"/>
        <v>582</v>
      </c>
      <c r="B584" s="401">
        <f t="shared" si="237"/>
        <v>41900</v>
      </c>
      <c r="D584" s="390">
        <v>64598.080000000002</v>
      </c>
      <c r="E584" s="387">
        <v>64598.080000000002</v>
      </c>
      <c r="F584" s="387">
        <f t="shared" ref="F584:F586" si="635">E584-E583</f>
        <v>479.86000000000058</v>
      </c>
      <c r="G584" s="388">
        <f t="shared" ref="G584:G586" si="636">(E584/E583)-1</f>
        <v>7.4839881706010303E-3</v>
      </c>
      <c r="H584" s="387">
        <f t="shared" ref="H584:H586" si="637">E584-$D$3</f>
        <v>41742.230000000003</v>
      </c>
      <c r="I584" s="388">
        <f t="shared" ref="I584:I586" si="638">(E584/$D$3)-1</f>
        <v>1.826325864056686</v>
      </c>
      <c r="L584" s="369">
        <v>2011.36</v>
      </c>
      <c r="M584" s="394">
        <f t="shared" ref="M584:M587" si="639">L584/L583-1</f>
        <v>6.9638789456556438E-3</v>
      </c>
      <c r="N584" s="394">
        <f t="shared" ref="N584:N587" si="640">(L584/$L$3)-1</f>
        <v>1.1625666609323928</v>
      </c>
      <c r="O584" s="395" t="str">
        <f t="shared" ref="O584:O586" si="641">IF(G584&gt;M584,"Yes","No")</f>
        <v>Yes</v>
      </c>
      <c r="P584" s="396">
        <f t="shared" ref="P584:P586" si="642">IF(O584="Yes",1,0)</f>
        <v>1</v>
      </c>
      <c r="Q584" s="394">
        <f>SUM($P$4:P584)/COUNT($P$4:P584)</f>
        <v>0.54044750430292599</v>
      </c>
      <c r="S584" s="369">
        <v>17265.990000000002</v>
      </c>
      <c r="T584" s="394">
        <f t="shared" ref="T584:T587" si="643">S584/S583-1</f>
        <v>1.2727432693999674E-2</v>
      </c>
      <c r="U584" s="394">
        <f t="shared" ref="U584:U587" si="644">(S584/$S$3)-1</f>
        <v>1.0117247759441108</v>
      </c>
      <c r="V584" s="395" t="str">
        <f t="shared" ref="V584:V586" si="645">IF(G584&gt;T584,"Yes","No")</f>
        <v>No</v>
      </c>
      <c r="W584" s="396">
        <f t="shared" ref="W584:W586" si="646">IF(V584="Yes",1,0)</f>
        <v>0</v>
      </c>
      <c r="X584" s="394">
        <f>SUM($W$478:W584)/COUNT($W$478:W584)</f>
        <v>0.57009345794392519</v>
      </c>
    </row>
    <row r="585" spans="1:27" x14ac:dyDescent="0.15">
      <c r="A585" s="384">
        <f t="shared" si="620"/>
        <v>583</v>
      </c>
      <c r="B585" s="401">
        <f t="shared" si="237"/>
        <v>41907</v>
      </c>
      <c r="D585" s="390">
        <v>62278.29</v>
      </c>
      <c r="E585" s="387">
        <v>62278.29</v>
      </c>
      <c r="F585" s="387">
        <f t="shared" si="635"/>
        <v>-2319.7900000000009</v>
      </c>
      <c r="G585" s="388">
        <f t="shared" si="636"/>
        <v>-3.5911129247185092E-2</v>
      </c>
      <c r="H585" s="387">
        <f t="shared" si="637"/>
        <v>39422.44</v>
      </c>
      <c r="I585" s="388">
        <f t="shared" si="638"/>
        <v>1.7248293106578845</v>
      </c>
      <c r="L585" s="369">
        <v>1965.99</v>
      </c>
      <c r="M585" s="394">
        <f t="shared" si="639"/>
        <v>-2.2556876938986559E-2</v>
      </c>
      <c r="N585" s="394">
        <f t="shared" si="640"/>
        <v>1.1137859108893857</v>
      </c>
      <c r="O585" s="395" t="str">
        <f t="shared" si="641"/>
        <v>No</v>
      </c>
      <c r="P585" s="396">
        <f t="shared" si="642"/>
        <v>0</v>
      </c>
      <c r="Q585" s="394">
        <f>SUM($P$4:P585)/COUNT($P$4:P585)</f>
        <v>0.53951890034364258</v>
      </c>
      <c r="S585" s="369">
        <v>16945.8</v>
      </c>
      <c r="T585" s="394">
        <f t="shared" si="643"/>
        <v>-1.8544549139667188E-2</v>
      </c>
      <c r="U585" s="394">
        <f t="shared" si="644"/>
        <v>0.97441824698112933</v>
      </c>
      <c r="V585" s="395" t="str">
        <f t="shared" si="645"/>
        <v>No</v>
      </c>
      <c r="W585" s="396">
        <f t="shared" si="646"/>
        <v>0</v>
      </c>
      <c r="X585" s="394">
        <f>SUM($W$478:W585)/COUNT($W$478:W585)</f>
        <v>0.56481481481481477</v>
      </c>
    </row>
    <row r="586" spans="1:27" x14ac:dyDescent="0.15">
      <c r="A586" s="384">
        <f t="shared" si="620"/>
        <v>584</v>
      </c>
      <c r="B586" s="401">
        <f t="shared" si="237"/>
        <v>41914</v>
      </c>
      <c r="D586" s="390">
        <v>61815</v>
      </c>
      <c r="E586" s="387">
        <v>61815</v>
      </c>
      <c r="F586" s="387">
        <f t="shared" si="635"/>
        <v>-463.29000000000087</v>
      </c>
      <c r="G586" s="388">
        <f t="shared" si="636"/>
        <v>-7.4390289136070376E-3</v>
      </c>
      <c r="H586" s="387">
        <f t="shared" si="637"/>
        <v>38959.15</v>
      </c>
      <c r="I586" s="388">
        <f t="shared" si="638"/>
        <v>1.7045592266312566</v>
      </c>
      <c r="L586" s="369">
        <v>1946.17</v>
      </c>
      <c r="M586" s="394">
        <f t="shared" si="639"/>
        <v>-1.0081434798752786E-2</v>
      </c>
      <c r="N586" s="394">
        <f t="shared" si="640"/>
        <v>1.0924759160502324</v>
      </c>
      <c r="O586" s="395" t="str">
        <f t="shared" si="641"/>
        <v>Yes</v>
      </c>
      <c r="P586" s="396">
        <f t="shared" si="642"/>
        <v>1</v>
      </c>
      <c r="Q586" s="394">
        <f>SUM($P$4:P586)/COUNT($P$4:P586)</f>
        <v>0.54030874785591765</v>
      </c>
      <c r="S586" s="369">
        <v>16801.05</v>
      </c>
      <c r="T586" s="394">
        <f t="shared" si="643"/>
        <v>-8.5419395956519706E-3</v>
      </c>
      <c r="U586" s="394">
        <f t="shared" si="644"/>
        <v>0.95755288557886331</v>
      </c>
      <c r="V586" s="395" t="str">
        <f t="shared" si="645"/>
        <v>Yes</v>
      </c>
      <c r="W586" s="396">
        <f t="shared" si="646"/>
        <v>1</v>
      </c>
      <c r="X586" s="394">
        <f>SUM($W$478:W586)/COUNT($W$478:W586)</f>
        <v>0.56880733944954132</v>
      </c>
    </row>
    <row r="587" spans="1:27" x14ac:dyDescent="0.15">
      <c r="A587" s="384">
        <f t="shared" si="620"/>
        <v>585</v>
      </c>
      <c r="B587" s="401">
        <f t="shared" si="237"/>
        <v>41921</v>
      </c>
      <c r="D587" s="390">
        <v>61172</v>
      </c>
      <c r="E587" s="387">
        <v>61172</v>
      </c>
      <c r="F587" s="387">
        <f t="shared" ref="F587" si="647">E587-E586</f>
        <v>-643</v>
      </c>
      <c r="G587" s="388">
        <f t="shared" ref="G587" si="648">(E587/E586)-1</f>
        <v>-1.0402005985602147E-2</v>
      </c>
      <c r="H587" s="387">
        <f t="shared" ref="H587" si="649">E587-$D$3</f>
        <v>38316.15</v>
      </c>
      <c r="I587" s="388">
        <f t="shared" ref="I587" si="650">(E587/$D$3)-1</f>
        <v>1.6764263853674226</v>
      </c>
      <c r="L587" s="369">
        <v>1928.21</v>
      </c>
      <c r="M587" s="394">
        <f t="shared" si="639"/>
        <v>-9.2283818988063704E-3</v>
      </c>
      <c r="N587" s="394">
        <f t="shared" si="640"/>
        <v>1.0731657491828659</v>
      </c>
      <c r="O587" s="395" t="str">
        <f t="shared" ref="O587" si="651">IF(G587&gt;M587,"Yes","No")</f>
        <v>No</v>
      </c>
      <c r="P587" s="396">
        <f t="shared" ref="P587" si="652">IF(O587="Yes",1,0)</f>
        <v>0</v>
      </c>
      <c r="Q587" s="394">
        <f>SUM($P$4:P587)/COUNT($P$4:P587)</f>
        <v>0.53938356164383561</v>
      </c>
      <c r="S587" s="369">
        <v>16659.25</v>
      </c>
      <c r="T587" s="394">
        <f t="shared" si="643"/>
        <v>-8.4399486936828083E-3</v>
      </c>
      <c r="U587" s="394">
        <f t="shared" si="644"/>
        <v>0.94103123965940694</v>
      </c>
      <c r="V587" s="395" t="str">
        <f t="shared" ref="V587" si="653">IF(G587&gt;T587,"Yes","No")</f>
        <v>No</v>
      </c>
      <c r="W587" s="396">
        <f t="shared" ref="W587" si="654">IF(V587="Yes",1,0)</f>
        <v>0</v>
      </c>
      <c r="X587" s="394">
        <f>SUM($W$478:W587)/COUNT($W$478:W587)</f>
        <v>0.5636363636363636</v>
      </c>
    </row>
    <row r="588" spans="1:27" x14ac:dyDescent="0.15">
      <c r="A588" s="384">
        <f t="shared" si="620"/>
        <v>586</v>
      </c>
      <c r="B588" s="401">
        <f t="shared" si="237"/>
        <v>41928</v>
      </c>
      <c r="D588" s="390">
        <v>59533.08</v>
      </c>
      <c r="E588" s="387">
        <v>59533.08</v>
      </c>
      <c r="F588" s="387">
        <f t="shared" ref="F588" si="655">E588-E587</f>
        <v>-1638.9199999999983</v>
      </c>
      <c r="G588" s="388">
        <f t="shared" ref="G588" si="656">(E588/E587)-1</f>
        <v>-2.6791996338193957E-2</v>
      </c>
      <c r="H588" s="387">
        <f t="shared" ref="H588" si="657">E588-$D$3</f>
        <v>36677.230000000003</v>
      </c>
      <c r="I588" s="388">
        <f t="shared" ref="I588" si="658">(E588/$D$3)-1</f>
        <v>1.604719579451213</v>
      </c>
      <c r="L588" s="369">
        <v>1862.76</v>
      </c>
      <c r="M588" s="394">
        <f t="shared" ref="M588" si="659">L588/L587-1</f>
        <v>-3.3943398281307546E-2</v>
      </c>
      <c r="N588" s="394">
        <f t="shared" ref="N588" si="660">(L588/$L$3)-1</f>
        <v>1.0027954584551866</v>
      </c>
      <c r="O588" s="395" t="str">
        <f t="shared" ref="O588" si="661">IF(G588&gt;M588,"Yes","No")</f>
        <v>Yes</v>
      </c>
      <c r="P588" s="396">
        <f t="shared" ref="P588" si="662">IF(O588="Yes",1,0)</f>
        <v>1</v>
      </c>
      <c r="Q588" s="394">
        <f>SUM($P$4:P588)/COUNT($P$4:P588)</f>
        <v>0.54017094017094014</v>
      </c>
      <c r="S588" s="369">
        <v>16117.24</v>
      </c>
      <c r="T588" s="394">
        <f t="shared" ref="T588" si="663">S588/S587-1</f>
        <v>-3.2535078109758864E-2</v>
      </c>
      <c r="U588" s="394">
        <f t="shared" ref="U588" si="664">(S588/$S$3)-1</f>
        <v>0.87787963666360613</v>
      </c>
      <c r="V588" s="395" t="str">
        <f t="shared" ref="V588" si="665">IF(G588&gt;T588,"Yes","No")</f>
        <v>Yes</v>
      </c>
      <c r="W588" s="396">
        <f t="shared" ref="W588" si="666">IF(V588="Yes",1,0)</f>
        <v>1</v>
      </c>
      <c r="X588" s="394">
        <f>SUM($W$478:W588)/COUNT($W$478:W588)</f>
        <v>0.56756756756756754</v>
      </c>
    </row>
    <row r="589" spans="1:27" x14ac:dyDescent="0.15">
      <c r="A589" s="384">
        <f t="shared" si="620"/>
        <v>587</v>
      </c>
      <c r="B589" s="401">
        <f t="shared" ref="B589:B652" si="667">B588+7</f>
        <v>41935</v>
      </c>
      <c r="D589" s="390">
        <v>62961.84</v>
      </c>
      <c r="E589" s="387">
        <v>62961.84</v>
      </c>
      <c r="F589" s="387">
        <f t="shared" ref="F589" si="668">E589-E588</f>
        <v>3428.7599999999948</v>
      </c>
      <c r="G589" s="388">
        <f t="shared" ref="G589" si="669">(E589/E588)-1</f>
        <v>5.7594198049218948E-2</v>
      </c>
      <c r="H589" s="387">
        <f t="shared" ref="H589" si="670">E589-$D$3</f>
        <v>40105.99</v>
      </c>
      <c r="I589" s="388">
        <f t="shared" ref="I589" si="671">(E589/$D$3)-1</f>
        <v>1.7547363147728046</v>
      </c>
      <c r="L589" s="369">
        <v>1950.82</v>
      </c>
      <c r="M589" s="394">
        <f t="shared" ref="M589" si="672">L589/L588-1</f>
        <v>4.7273937597972937E-2</v>
      </c>
      <c r="N589" s="394">
        <f t="shared" ref="N589" si="673">(L589/$L$3)-1</f>
        <v>1.0974754859797007</v>
      </c>
      <c r="O589" s="395" t="str">
        <f t="shared" ref="O589" si="674">IF(G589&gt;M589,"Yes","No")</f>
        <v>Yes</v>
      </c>
      <c r="P589" s="396">
        <f t="shared" ref="P589" si="675">IF(O589="Yes",1,0)</f>
        <v>1</v>
      </c>
      <c r="Q589" s="394">
        <f>SUM($P$4:P589)/COUNT($P$4:P589)</f>
        <v>0.54095563139931746</v>
      </c>
      <c r="S589" s="369">
        <v>16677.900000000001</v>
      </c>
      <c r="T589" s="394">
        <f t="shared" ref="T589" si="676">S589/S588-1</f>
        <v>3.4786352998404269E-2</v>
      </c>
      <c r="U589" s="394">
        <f t="shared" ref="U589" si="677">(S589/$S$3)-1</f>
        <v>0.94320422059310149</v>
      </c>
      <c r="V589" s="395" t="str">
        <f t="shared" ref="V589" si="678">IF(G589&gt;T589,"Yes","No")</f>
        <v>Yes</v>
      </c>
      <c r="W589" s="396">
        <f t="shared" ref="W589" si="679">IF(V589="Yes",1,0)</f>
        <v>1</v>
      </c>
      <c r="X589" s="394">
        <f>SUM($W$478:W589)/COUNT($W$478:W589)</f>
        <v>0.5714285714285714</v>
      </c>
      <c r="Z589" s="464">
        <v>4452.79</v>
      </c>
    </row>
    <row r="590" spans="1:27" x14ac:dyDescent="0.15">
      <c r="A590" s="384">
        <f t="shared" si="620"/>
        <v>588</v>
      </c>
      <c r="B590" s="401">
        <f t="shared" si="667"/>
        <v>41942</v>
      </c>
      <c r="D590" s="390">
        <v>64707.21</v>
      </c>
      <c r="E590" s="387">
        <v>64707.21</v>
      </c>
      <c r="F590" s="387">
        <f t="shared" ref="F590" si="680">E590-E589</f>
        <v>1745.3700000000026</v>
      </c>
      <c r="G590" s="388">
        <f t="shared" ref="G590" si="681">(E590/E589)-1</f>
        <v>2.7721076766498598E-2</v>
      </c>
      <c r="H590" s="387">
        <f t="shared" ref="H590" si="682">E590-$D$3</f>
        <v>41851.360000000001</v>
      </c>
      <c r="I590" s="388">
        <f t="shared" ref="I590" si="683">(E590/$D$3)-1</f>
        <v>1.8311005716260826</v>
      </c>
      <c r="L590" s="369">
        <v>1994.65</v>
      </c>
      <c r="M590" s="394">
        <f t="shared" ref="M590:M593" si="684">L590/L589-1</f>
        <v>2.2467475215550481E-2</v>
      </c>
      <c r="N590" s="394">
        <f t="shared" ref="N590:N593" si="685">(L590/$L$3)-1</f>
        <v>1.144600464476174</v>
      </c>
      <c r="O590" s="395" t="str">
        <f t="shared" ref="O590" si="686">IF(G590&gt;M590,"Yes","No")</f>
        <v>Yes</v>
      </c>
      <c r="P590" s="396">
        <f t="shared" ref="P590" si="687">IF(O590="Yes",1,0)</f>
        <v>1</v>
      </c>
      <c r="Q590" s="394">
        <f>SUM($P$4:P590)/COUNT($P$4:P590)</f>
        <v>0.54173764906303234</v>
      </c>
      <c r="S590" s="369">
        <v>17195.419999999998</v>
      </c>
      <c r="T590" s="394">
        <f t="shared" ref="T590" si="688">S590/S589-1</f>
        <v>3.1030285587513751E-2</v>
      </c>
      <c r="U590" s="394">
        <f t="shared" ref="U590" si="689">(S590/$S$3)-1</f>
        <v>1.0035024025129675</v>
      </c>
      <c r="V590" s="395" t="str">
        <f t="shared" ref="V590" si="690">IF(G590&gt;T590,"Yes","No")</f>
        <v>No</v>
      </c>
      <c r="W590" s="396">
        <f t="shared" ref="W590" si="691">IF(V590="Yes",1,0)</f>
        <v>0</v>
      </c>
      <c r="X590" s="394">
        <f>SUM($W$478:W590)/COUNT($W$478:W590)</f>
        <v>0.5663716814159292</v>
      </c>
      <c r="Z590" s="464">
        <v>4566.1400000000003</v>
      </c>
      <c r="AA590" s="465">
        <f t="shared" si="618"/>
        <v>2.5455950089719112E-2</v>
      </c>
    </row>
    <row r="591" spans="1:27" x14ac:dyDescent="0.15">
      <c r="A591" s="384">
        <f t="shared" si="620"/>
        <v>589</v>
      </c>
      <c r="B591" s="401">
        <f t="shared" si="667"/>
        <v>41949</v>
      </c>
      <c r="D591" s="390">
        <f>D590*(1+$AA591)</f>
        <v>65732.205400776147</v>
      </c>
      <c r="E591" s="387">
        <f>E590*(1+$AA591)</f>
        <v>65732.205400776147</v>
      </c>
      <c r="F591" s="387">
        <f t="shared" ref="F591:F593" si="692">E591-E590</f>
        <v>1024.995400776148</v>
      </c>
      <c r="G591" s="388">
        <f t="shared" ref="G591:G593" si="693">(E591/E590)-1</f>
        <v>1.5840512993469336E-2</v>
      </c>
      <c r="H591" s="387">
        <f t="shared" ref="H591:H593" si="694">E591-$D$3</f>
        <v>42876.355400776149</v>
      </c>
      <c r="I591" s="388">
        <f t="shared" ref="I591:I593" si="695">(E591/$D$3)-1</f>
        <v>1.875946657016744</v>
      </c>
      <c r="L591" s="369">
        <v>2031.21</v>
      </c>
      <c r="M591" s="394">
        <f t="shared" si="684"/>
        <v>1.8329030155666448E-2</v>
      </c>
      <c r="N591" s="394">
        <f t="shared" si="685"/>
        <v>1.183908911061414</v>
      </c>
      <c r="O591" s="395" t="str">
        <f t="shared" ref="O591:O593" si="696">IF(G591&gt;M591,"Yes","No")</f>
        <v>No</v>
      </c>
      <c r="P591" s="396">
        <f t="shared" ref="P591:P593" si="697">IF(O591="Yes",1,0)</f>
        <v>0</v>
      </c>
      <c r="Q591" s="394">
        <f>SUM($P$4:P591)/COUNT($P$4:P591)</f>
        <v>0.54081632653061229</v>
      </c>
      <c r="S591" s="369">
        <v>17554.47</v>
      </c>
      <c r="T591" s="394">
        <f t="shared" ref="T591:T593" si="698">S591/S590-1</f>
        <v>2.0880560056108166E-2</v>
      </c>
      <c r="U591" s="394">
        <f t="shared" ref="U591:U593" si="699">(S591/$S$3)-1</f>
        <v>1.0453366547511966</v>
      </c>
      <c r="V591" s="395" t="str">
        <f t="shared" ref="V591:V593" si="700">IF(G591&gt;T591,"Yes","No")</f>
        <v>No</v>
      </c>
      <c r="W591" s="396">
        <f t="shared" ref="W591:W593" si="701">IF(V591="Yes",1,0)</f>
        <v>0</v>
      </c>
      <c r="X591" s="394">
        <f>SUM($W$478:W591)/COUNT($W$478:W591)</f>
        <v>0.56140350877192979</v>
      </c>
      <c r="Z591" s="464">
        <v>4638.47</v>
      </c>
      <c r="AA591" s="465">
        <f t="shared" si="618"/>
        <v>1.5840512993469304E-2</v>
      </c>
    </row>
    <row r="592" spans="1:27" x14ac:dyDescent="0.15">
      <c r="A592" s="384">
        <f t="shared" si="620"/>
        <v>590</v>
      </c>
      <c r="B592" s="401">
        <f t="shared" si="667"/>
        <v>41956</v>
      </c>
      <c r="D592" s="390">
        <f>D591*(1+$AA592)</f>
        <v>66322.714986706502</v>
      </c>
      <c r="E592" s="387">
        <f>E591*(1+$AA592)</f>
        <v>66322.714986706502</v>
      </c>
      <c r="F592" s="387">
        <f t="shared" si="692"/>
        <v>590.50958593035466</v>
      </c>
      <c r="G592" s="388">
        <f t="shared" si="693"/>
        <v>8.9835657016215098E-3</v>
      </c>
      <c r="H592" s="387">
        <f t="shared" si="694"/>
        <v>43466.864986706503</v>
      </c>
      <c r="I592" s="388">
        <f t="shared" si="695"/>
        <v>1.9017829127644128</v>
      </c>
      <c r="L592" s="369">
        <v>2039.33</v>
      </c>
      <c r="M592" s="394">
        <f t="shared" si="684"/>
        <v>3.9976171838460584E-3</v>
      </c>
      <c r="N592" s="394">
        <f t="shared" si="685"/>
        <v>1.1926393428522277</v>
      </c>
      <c r="O592" s="395" t="str">
        <f t="shared" si="696"/>
        <v>Yes</v>
      </c>
      <c r="P592" s="396">
        <f t="shared" si="697"/>
        <v>1</v>
      </c>
      <c r="Q592" s="394">
        <f>SUM($P$4:P592)/COUNT($P$4:P592)</f>
        <v>0.54159592529711376</v>
      </c>
      <c r="S592" s="369">
        <v>17652.79</v>
      </c>
      <c r="T592" s="394">
        <f t="shared" si="698"/>
        <v>5.6008526603195108E-3</v>
      </c>
      <c r="U592" s="394">
        <f t="shared" si="699"/>
        <v>1.0567922839952089</v>
      </c>
      <c r="V592" s="395" t="str">
        <f t="shared" si="700"/>
        <v>Yes</v>
      </c>
      <c r="W592" s="396">
        <f t="shared" si="701"/>
        <v>1</v>
      </c>
      <c r="X592" s="394">
        <f>SUM($W$478:W592)/COUNT($W$478:W592)</f>
        <v>0.56521739130434778</v>
      </c>
      <c r="Z592" s="464">
        <v>4680.1400000000003</v>
      </c>
      <c r="AA592" s="465">
        <f t="shared" si="618"/>
        <v>8.9835657016214543E-3</v>
      </c>
    </row>
    <row r="593" spans="1:27" x14ac:dyDescent="0.15">
      <c r="A593" s="384">
        <f t="shared" si="620"/>
        <v>591</v>
      </c>
      <c r="B593" s="401">
        <f t="shared" si="667"/>
        <v>41963</v>
      </c>
      <c r="D593" s="390">
        <v>67447.899999999994</v>
      </c>
      <c r="E593" s="387">
        <v>67447.899999999994</v>
      </c>
      <c r="F593" s="387">
        <f t="shared" si="692"/>
        <v>1125.1850132934924</v>
      </c>
      <c r="G593" s="388">
        <f t="shared" si="693"/>
        <v>1.6965303870913884E-2</v>
      </c>
      <c r="H593" s="387">
        <f t="shared" si="694"/>
        <v>44592.049999999996</v>
      </c>
      <c r="I593" s="388">
        <f t="shared" si="695"/>
        <v>1.9510125416468869</v>
      </c>
      <c r="L593" s="369">
        <v>2052.75</v>
      </c>
      <c r="M593" s="394">
        <f t="shared" si="684"/>
        <v>6.5805926456239394E-3</v>
      </c>
      <c r="N593" s="394">
        <f t="shared" si="685"/>
        <v>1.2070682091863065</v>
      </c>
      <c r="O593" s="395" t="str">
        <f t="shared" si="696"/>
        <v>Yes</v>
      </c>
      <c r="P593" s="396">
        <f t="shared" si="697"/>
        <v>1</v>
      </c>
      <c r="Q593" s="394">
        <f>SUM($P$4:P593)/COUNT($P$4:P593)</f>
        <v>0.5423728813559322</v>
      </c>
      <c r="S593" s="369">
        <v>17719</v>
      </c>
      <c r="T593" s="394">
        <f t="shared" si="698"/>
        <v>3.7506819035404426E-3</v>
      </c>
      <c r="U593" s="394">
        <f t="shared" si="699"/>
        <v>1.0645066575941313</v>
      </c>
      <c r="V593" s="395" t="str">
        <f t="shared" si="700"/>
        <v>Yes</v>
      </c>
      <c r="W593" s="396">
        <f t="shared" si="701"/>
        <v>1</v>
      </c>
      <c r="X593" s="394">
        <f>SUM($W$478:W593)/COUNT($W$478:W593)</f>
        <v>0.56896551724137934</v>
      </c>
      <c r="Z593" s="464">
        <v>4701.87</v>
      </c>
      <c r="AA593" s="465">
        <f t="shared" si="618"/>
        <v>4.6430234992969359E-3</v>
      </c>
    </row>
    <row r="594" spans="1:27" x14ac:dyDescent="0.15">
      <c r="A594" s="384">
        <f t="shared" si="620"/>
        <v>592</v>
      </c>
      <c r="B594" s="401">
        <f t="shared" si="667"/>
        <v>41970</v>
      </c>
      <c r="D594" s="390">
        <v>68252.53</v>
      </c>
      <c r="E594" s="387">
        <v>68252.53</v>
      </c>
      <c r="F594" s="387">
        <f t="shared" ref="F594:F595" si="702">E594-E593</f>
        <v>804.63000000000466</v>
      </c>
      <c r="G594" s="388">
        <f t="shared" ref="G594:G595" si="703">(E594/E593)-1</f>
        <v>1.1929652368717347E-2</v>
      </c>
      <c r="H594" s="387">
        <f t="shared" ref="H594:H595" si="704">E594-$D$3</f>
        <v>45396.68</v>
      </c>
      <c r="I594" s="388">
        <f t="shared" ref="I594:I595" si="705">(E594/$D$3)-1</f>
        <v>1.9862170954044589</v>
      </c>
      <c r="L594" s="369">
        <v>2072.83</v>
      </c>
      <c r="M594" s="394">
        <f t="shared" ref="M594:M595" si="706">L594/L593-1</f>
        <v>9.7819997564243533E-3</v>
      </c>
      <c r="N594" s="394">
        <f t="shared" ref="N594:N595" si="707">(L594/$L$3)-1</f>
        <v>1.2286577498709788</v>
      </c>
      <c r="O594" s="395" t="str">
        <f t="shared" ref="O594:O595" si="708">IF(G594&gt;M594,"Yes","No")</f>
        <v>Yes</v>
      </c>
      <c r="P594" s="396">
        <f t="shared" ref="P594:P595" si="709">IF(O594="Yes",1,0)</f>
        <v>1</v>
      </c>
      <c r="Q594" s="394">
        <f>SUM($P$4:P594)/COUNT($P$4:P594)</f>
        <v>0.54314720812182737</v>
      </c>
      <c r="S594" s="369">
        <v>17827.75</v>
      </c>
      <c r="T594" s="394">
        <f t="shared" ref="T594:T595" si="710">S594/S593-1</f>
        <v>6.1374795417348249E-3</v>
      </c>
      <c r="U594" s="394">
        <f t="shared" ref="U594:U595" si="711">(S594/$S$3)-1</f>
        <v>1.0771775249688909</v>
      </c>
      <c r="V594" s="395" t="str">
        <f t="shared" ref="V594:V595" si="712">IF(G594&gt;T594,"Yes","No")</f>
        <v>Yes</v>
      </c>
      <c r="W594" s="396">
        <f t="shared" ref="W594:W595" si="713">IF(V594="Yes",1,0)</f>
        <v>1</v>
      </c>
      <c r="X594" s="394">
        <f>SUM($W$478:W594)/COUNT($W$478:W594)</f>
        <v>0.57264957264957261</v>
      </c>
      <c r="Z594" s="464">
        <v>4787.32</v>
      </c>
      <c r="AA594" s="465">
        <f t="shared" si="618"/>
        <v>1.8173620282993748E-2</v>
      </c>
    </row>
    <row r="595" spans="1:27" x14ac:dyDescent="0.15">
      <c r="A595" s="384">
        <f t="shared" si="620"/>
        <v>593</v>
      </c>
      <c r="B595" s="401">
        <f t="shared" si="667"/>
        <v>41977</v>
      </c>
      <c r="D595" s="390">
        <v>67830.070000000007</v>
      </c>
      <c r="E595" s="387">
        <v>67830.070000000007</v>
      </c>
      <c r="F595" s="387">
        <f t="shared" si="702"/>
        <v>-422.45999999999185</v>
      </c>
      <c r="G595" s="388">
        <f t="shared" si="703"/>
        <v>-6.1896606616632655E-3</v>
      </c>
      <c r="H595" s="387">
        <f t="shared" si="704"/>
        <v>44974.220000000008</v>
      </c>
      <c r="I595" s="388">
        <f t="shared" si="705"/>
        <v>1.9677334249218474</v>
      </c>
      <c r="L595" s="369">
        <v>2071.92</v>
      </c>
      <c r="M595" s="394">
        <f t="shared" si="706"/>
        <v>-4.3901332960250006E-4</v>
      </c>
      <c r="N595" s="394">
        <f t="shared" si="707"/>
        <v>1.2276793394116634</v>
      </c>
      <c r="O595" s="395" t="str">
        <f t="shared" si="708"/>
        <v>No</v>
      </c>
      <c r="P595" s="396">
        <f t="shared" si="709"/>
        <v>0</v>
      </c>
      <c r="Q595" s="394">
        <f>SUM($P$4:P595)/COUNT($P$4:P595)</f>
        <v>0.54222972972972971</v>
      </c>
      <c r="S595" s="369">
        <v>17900.099999999999</v>
      </c>
      <c r="T595" s="394">
        <f t="shared" si="710"/>
        <v>4.0582799287627314E-3</v>
      </c>
      <c r="U595" s="394">
        <f t="shared" si="711"/>
        <v>1.0856072928269489</v>
      </c>
      <c r="V595" s="395" t="str">
        <f t="shared" si="712"/>
        <v>No</v>
      </c>
      <c r="W595" s="396">
        <f t="shared" si="713"/>
        <v>0</v>
      </c>
      <c r="X595" s="394">
        <f>SUM($W$478:W595)/COUNT($W$478:W595)</f>
        <v>0.56779661016949157</v>
      </c>
      <c r="Z595" s="464">
        <v>4769.4399999999996</v>
      </c>
      <c r="AA595" s="465">
        <f t="shared" si="618"/>
        <v>-3.7348662717345215E-3</v>
      </c>
    </row>
    <row r="596" spans="1:27" x14ac:dyDescent="0.15">
      <c r="A596" s="384">
        <f t="shared" si="620"/>
        <v>594</v>
      </c>
      <c r="B596" s="401">
        <f t="shared" si="667"/>
        <v>41984</v>
      </c>
      <c r="D596" s="390">
        <f>D595*(1+$AA596)</f>
        <v>66958.55747660104</v>
      </c>
      <c r="E596" s="387">
        <f>E595*(1+$AA596)</f>
        <v>66958.55747660104</v>
      </c>
      <c r="F596" s="387">
        <f t="shared" ref="F596:F620" si="714">E596-E595</f>
        <v>-871.51252339896746</v>
      </c>
      <c r="G596" s="388">
        <f t="shared" ref="G596:G620" si="715">(E596/E595)-1</f>
        <v>-1.2848468583313677E-2</v>
      </c>
      <c r="H596" s="387">
        <f t="shared" ref="H596:H621" si="716">E596-$D$3</f>
        <v>44102.707476601041</v>
      </c>
      <c r="I596" s="388">
        <f t="shared" ref="I596:I621" si="717">(E596/$D$3)-1</f>
        <v>1.9296025952480895</v>
      </c>
      <c r="L596" s="369">
        <v>2035.33</v>
      </c>
      <c r="M596" s="394">
        <f t="shared" ref="M596:M620" si="718">L596/L595-1</f>
        <v>-1.7659948260550618E-2</v>
      </c>
      <c r="N596" s="394">
        <f t="shared" ref="N596:N620" si="719">(L596/$L$3)-1</f>
        <v>1.1883386375365559</v>
      </c>
      <c r="O596" s="395" t="str">
        <f t="shared" ref="O596:O620" si="720">IF(G596&gt;M596,"Yes","No")</f>
        <v>Yes</v>
      </c>
      <c r="P596" s="396">
        <f t="shared" ref="P596:P620" si="721">IF(O596="Yes",1,0)</f>
        <v>1</v>
      </c>
      <c r="Q596" s="394">
        <f>SUM($P$4:P596)/COUNT($P$4:P596)</f>
        <v>0.54300168634064083</v>
      </c>
      <c r="S596" s="369">
        <v>17596.34</v>
      </c>
      <c r="T596" s="394">
        <f t="shared" ref="T596:T620" si="722">S596/S595-1</f>
        <v>-1.6969737599231149E-2</v>
      </c>
      <c r="U596" s="394">
        <f t="shared" ref="U596:U620" si="723">(S596/$S$3)-1</f>
        <v>1.0502150843326326</v>
      </c>
      <c r="V596" s="395" t="str">
        <f t="shared" ref="V596:V620" si="724">IF(G596&gt;T596,"Yes","No")</f>
        <v>Yes</v>
      </c>
      <c r="W596" s="396">
        <f t="shared" ref="W596:W620" si="725">IF(V596="Yes",1,0)</f>
        <v>1</v>
      </c>
      <c r="X596" s="394">
        <f>SUM($W$478:W596)/COUNT($W$478:W596)</f>
        <v>0.5714285714285714</v>
      </c>
      <c r="Z596" s="464">
        <v>4708.16</v>
      </c>
      <c r="AA596" s="465">
        <f t="shared" si="618"/>
        <v>-1.2848468583313712E-2</v>
      </c>
    </row>
    <row r="597" spans="1:27" x14ac:dyDescent="0.15">
      <c r="A597" s="384">
        <f t="shared" si="620"/>
        <v>595</v>
      </c>
      <c r="B597" s="401">
        <f t="shared" si="667"/>
        <v>41991</v>
      </c>
      <c r="D597" s="390">
        <f>D596*(1+$AA597)</f>
        <v>67530.843115334312</v>
      </c>
      <c r="E597" s="387">
        <f>E596*(1+$AA597)</f>
        <v>67530.843115334312</v>
      </c>
      <c r="F597" s="387">
        <f t="shared" si="714"/>
        <v>572.28563873327221</v>
      </c>
      <c r="G597" s="388">
        <f t="shared" si="715"/>
        <v>8.5468633181540188E-3</v>
      </c>
      <c r="H597" s="387">
        <f t="shared" si="716"/>
        <v>44674.993115334313</v>
      </c>
      <c r="I597" s="388">
        <f t="shared" si="717"/>
        <v>1.9546415082061843</v>
      </c>
      <c r="L597" s="369">
        <v>2061.23</v>
      </c>
      <c r="M597" s="394">
        <f t="shared" si="718"/>
        <v>1.2725209179838215E-2</v>
      </c>
      <c r="N597" s="394">
        <f t="shared" si="719"/>
        <v>1.2161857044555306</v>
      </c>
      <c r="O597" s="395" t="str">
        <f t="shared" si="720"/>
        <v>No</v>
      </c>
      <c r="P597" s="396">
        <f t="shared" si="721"/>
        <v>0</v>
      </c>
      <c r="Q597" s="394">
        <f>SUM($P$4:P597)/COUNT($P$4:P597)</f>
        <v>0.54208754208754206</v>
      </c>
      <c r="S597" s="369">
        <v>17778.150000000001</v>
      </c>
      <c r="T597" s="394">
        <f t="shared" si="722"/>
        <v>1.0332262277269022E-2</v>
      </c>
      <c r="U597" s="394">
        <f t="shared" si="723"/>
        <v>1.071398444308771</v>
      </c>
      <c r="V597" s="395" t="str">
        <f t="shared" si="724"/>
        <v>No</v>
      </c>
      <c r="W597" s="396">
        <f t="shared" si="725"/>
        <v>0</v>
      </c>
      <c r="X597" s="394">
        <f>SUM($W$478:W597)/COUNT($W$478:W597)</f>
        <v>0.56666666666666665</v>
      </c>
      <c r="Z597" s="464">
        <v>4748.3999999999996</v>
      </c>
      <c r="AA597" s="465">
        <f t="shared" si="618"/>
        <v>8.5468633181539667E-3</v>
      </c>
    </row>
    <row r="598" spans="1:27" x14ac:dyDescent="0.15">
      <c r="A598" s="384">
        <f t="shared" si="620"/>
        <v>596</v>
      </c>
      <c r="B598" s="401">
        <f t="shared" si="667"/>
        <v>41998</v>
      </c>
      <c r="D598" s="390">
        <f t="shared" ref="D598:E600" si="726">D597*(1+$AA598)</f>
        <v>67887.383894733997</v>
      </c>
      <c r="E598" s="387">
        <f t="shared" si="726"/>
        <v>67887.383894733997</v>
      </c>
      <c r="F598" s="387">
        <f t="shared" si="714"/>
        <v>356.54077939968556</v>
      </c>
      <c r="G598" s="388">
        <f t="shared" si="715"/>
        <v>5.2796731530622143E-3</v>
      </c>
      <c r="H598" s="387">
        <f t="shared" si="716"/>
        <v>45031.533894733999</v>
      </c>
      <c r="I598" s="388">
        <f t="shared" si="717"/>
        <v>1.9702410496539837</v>
      </c>
      <c r="L598" s="369">
        <v>2081.88</v>
      </c>
      <c r="M598" s="394">
        <f t="shared" si="718"/>
        <v>1.0018290050115786E-2</v>
      </c>
      <c r="N598" s="394">
        <f t="shared" si="719"/>
        <v>1.2383880956476863</v>
      </c>
      <c r="O598" s="395" t="str">
        <f t="shared" si="720"/>
        <v>No</v>
      </c>
      <c r="P598" s="396">
        <f t="shared" si="721"/>
        <v>0</v>
      </c>
      <c r="Q598" s="394">
        <f>SUM($P$4:P598)/COUNT($P$4:P598)</f>
        <v>0.54117647058823526</v>
      </c>
      <c r="S598" s="369">
        <v>18030.21</v>
      </c>
      <c r="T598" s="394">
        <f t="shared" si="722"/>
        <v>1.4178078146488637E-2</v>
      </c>
      <c r="U598" s="394">
        <f t="shared" si="723"/>
        <v>1.1007668933246957</v>
      </c>
      <c r="V598" s="395" t="str">
        <f t="shared" si="724"/>
        <v>No</v>
      </c>
      <c r="W598" s="396">
        <f t="shared" si="725"/>
        <v>0</v>
      </c>
      <c r="X598" s="394">
        <f>SUM($W$478:W598)/COUNT($W$478:W598)</f>
        <v>0.56198347107438018</v>
      </c>
      <c r="Z598" s="464">
        <v>4773.47</v>
      </c>
      <c r="AA598" s="465">
        <f t="shared" si="618"/>
        <v>5.2796731530622143E-3</v>
      </c>
    </row>
    <row r="599" spans="1:27" x14ac:dyDescent="0.15">
      <c r="A599" s="384">
        <f t="shared" si="620"/>
        <v>597</v>
      </c>
      <c r="B599" s="401">
        <f t="shared" si="667"/>
        <v>42005</v>
      </c>
      <c r="D599" s="390">
        <f t="shared" si="726"/>
        <v>65921.50308354861</v>
      </c>
      <c r="E599" s="387">
        <f t="shared" si="726"/>
        <v>65921.50308354861</v>
      </c>
      <c r="F599" s="387">
        <f t="shared" si="714"/>
        <v>-1965.8808111853868</v>
      </c>
      <c r="G599" s="388">
        <f t="shared" si="715"/>
        <v>-2.8957969778798276E-2</v>
      </c>
      <c r="H599" s="387">
        <f t="shared" si="716"/>
        <v>43065.653083548612</v>
      </c>
      <c r="I599" s="388">
        <f t="shared" si="717"/>
        <v>1.8842288991023572</v>
      </c>
      <c r="L599" s="369">
        <v>2058.9</v>
      </c>
      <c r="M599" s="394">
        <f t="shared" si="718"/>
        <v>-1.1038100178684673E-2</v>
      </c>
      <c r="N599" s="394">
        <f t="shared" si="719"/>
        <v>1.213680543609152</v>
      </c>
      <c r="O599" s="395" t="str">
        <f t="shared" si="720"/>
        <v>No</v>
      </c>
      <c r="P599" s="396">
        <f t="shared" si="721"/>
        <v>0</v>
      </c>
      <c r="Q599" s="394">
        <f>SUM($P$4:P599)/COUNT($P$4:P599)</f>
        <v>0.54026845637583898</v>
      </c>
      <c r="S599" s="369">
        <v>17823.07</v>
      </c>
      <c r="T599" s="394">
        <f t="shared" si="722"/>
        <v>-1.1488496251568892E-2</v>
      </c>
      <c r="U599" s="394">
        <f t="shared" si="723"/>
        <v>1.0766322407453148</v>
      </c>
      <c r="V599" s="395" t="str">
        <f t="shared" si="724"/>
        <v>No</v>
      </c>
      <c r="W599" s="396">
        <f t="shared" si="725"/>
        <v>0</v>
      </c>
      <c r="X599" s="394">
        <f>SUM($W$478:W599)/COUNT($W$478:W599)</f>
        <v>0.55737704918032782</v>
      </c>
      <c r="Z599" s="464">
        <v>4635.24</v>
      </c>
      <c r="AA599" s="465">
        <f t="shared" si="618"/>
        <v>-2.8957969778798331E-2</v>
      </c>
    </row>
    <row r="600" spans="1:27" x14ac:dyDescent="0.15">
      <c r="A600" s="384">
        <f t="shared" si="620"/>
        <v>598</v>
      </c>
      <c r="B600" s="401">
        <f t="shared" si="667"/>
        <v>42012</v>
      </c>
      <c r="D600" s="390">
        <f t="shared" si="726"/>
        <v>67357.194813919472</v>
      </c>
      <c r="E600" s="387">
        <f t="shared" si="726"/>
        <v>67357.194813919472</v>
      </c>
      <c r="F600" s="387">
        <f t="shared" si="714"/>
        <v>1435.6917303708615</v>
      </c>
      <c r="G600" s="388">
        <f t="shared" si="715"/>
        <v>2.1778807569834635E-2</v>
      </c>
      <c r="H600" s="387">
        <f t="shared" si="716"/>
        <v>44501.344813919473</v>
      </c>
      <c r="I600" s="388">
        <f t="shared" si="717"/>
        <v>1.9470439652832634</v>
      </c>
      <c r="L600" s="369">
        <v>2062.14</v>
      </c>
      <c r="M600" s="394">
        <f t="shared" si="718"/>
        <v>1.5736558356402863E-3</v>
      </c>
      <c r="N600" s="394">
        <f t="shared" si="719"/>
        <v>1.217164114914846</v>
      </c>
      <c r="O600" s="395" t="str">
        <f t="shared" si="720"/>
        <v>Yes</v>
      </c>
      <c r="P600" s="396">
        <f t="shared" si="721"/>
        <v>1</v>
      </c>
      <c r="Q600" s="394">
        <f>SUM($P$4:P600)/COUNT($P$4:P600)</f>
        <v>0.54103852596314905</v>
      </c>
      <c r="S600" s="369">
        <v>17907.87</v>
      </c>
      <c r="T600" s="394">
        <f t="shared" si="722"/>
        <v>4.7578784126416362E-3</v>
      </c>
      <c r="U600" s="394">
        <f t="shared" si="723"/>
        <v>1.0865126044545526</v>
      </c>
      <c r="V600" s="395" t="str">
        <f t="shared" si="724"/>
        <v>Yes</v>
      </c>
      <c r="W600" s="396">
        <f t="shared" si="725"/>
        <v>1</v>
      </c>
      <c r="X600" s="394">
        <f>SUM($W$478:W600)/COUNT($W$478:W600)</f>
        <v>0.56097560975609762</v>
      </c>
      <c r="Z600" s="464">
        <v>4736.1899999999996</v>
      </c>
      <c r="AA600" s="465">
        <f t="shared" si="618"/>
        <v>2.1778807569834534E-2</v>
      </c>
    </row>
    <row r="601" spans="1:27" x14ac:dyDescent="0.15">
      <c r="A601" s="384">
        <f t="shared" si="620"/>
        <v>599</v>
      </c>
      <c r="B601" s="401">
        <f t="shared" si="667"/>
        <v>42019</v>
      </c>
      <c r="D601" s="390">
        <v>64796.61</v>
      </c>
      <c r="E601" s="387">
        <v>64796.61</v>
      </c>
      <c r="F601" s="387">
        <f t="shared" si="714"/>
        <v>-2560.5848139194713</v>
      </c>
      <c r="G601" s="388">
        <f t="shared" si="715"/>
        <v>-3.8015015634088156E-2</v>
      </c>
      <c r="H601" s="387">
        <f t="shared" si="716"/>
        <v>41940.76</v>
      </c>
      <c r="I601" s="388">
        <f t="shared" si="717"/>
        <v>1.8350120428686751</v>
      </c>
      <c r="L601" s="369">
        <v>1992.67</v>
      </c>
      <c r="M601" s="394">
        <f t="shared" si="718"/>
        <v>-3.3688304382825551E-2</v>
      </c>
      <c r="N601" s="394">
        <f t="shared" si="719"/>
        <v>1.1424716153449164</v>
      </c>
      <c r="O601" s="395" t="str">
        <f t="shared" si="720"/>
        <v>No</v>
      </c>
      <c r="P601" s="396">
        <f t="shared" si="721"/>
        <v>0</v>
      </c>
      <c r="Q601" s="394">
        <f>SUM($P$4:P601)/COUNT($P$4:P601)</f>
        <v>0.54013377926421402</v>
      </c>
      <c r="S601" s="369">
        <v>17320.71</v>
      </c>
      <c r="T601" s="394">
        <f t="shared" si="722"/>
        <v>-3.2787818986847683E-2</v>
      </c>
      <c r="U601" s="394">
        <f t="shared" si="723"/>
        <v>1.0181004068659205</v>
      </c>
      <c r="V601" s="395" t="str">
        <f t="shared" si="724"/>
        <v>No</v>
      </c>
      <c r="W601" s="396">
        <f t="shared" si="725"/>
        <v>0</v>
      </c>
      <c r="X601" s="394">
        <f>SUM($W$478:W601)/COUNT($W$478:W601)</f>
        <v>0.55645161290322576</v>
      </c>
      <c r="Z601" s="464">
        <v>4570.82</v>
      </c>
      <c r="AA601" s="465">
        <f t="shared" si="618"/>
        <v>-3.4916251248366281E-2</v>
      </c>
    </row>
    <row r="602" spans="1:27" x14ac:dyDescent="0.15">
      <c r="A602" s="384">
        <f t="shared" si="620"/>
        <v>600</v>
      </c>
      <c r="B602" s="401">
        <f t="shared" si="667"/>
        <v>42026</v>
      </c>
      <c r="D602" s="390">
        <v>67543.91</v>
      </c>
      <c r="E602" s="387">
        <v>67543.91</v>
      </c>
      <c r="F602" s="387">
        <f t="shared" si="714"/>
        <v>2747.3000000000029</v>
      </c>
      <c r="G602" s="388">
        <f t="shared" si="715"/>
        <v>4.2398823024846655E-2</v>
      </c>
      <c r="H602" s="387">
        <f t="shared" si="716"/>
        <v>44688.060000000005</v>
      </c>
      <c r="I602" s="388">
        <f t="shared" si="717"/>
        <v>1.9552132167475724</v>
      </c>
      <c r="L602" s="369">
        <v>2063.15</v>
      </c>
      <c r="M602" s="394">
        <f t="shared" si="718"/>
        <v>3.5369629692824311E-2</v>
      </c>
      <c r="N602" s="394">
        <f t="shared" si="719"/>
        <v>1.2182500430070533</v>
      </c>
      <c r="O602" s="395" t="str">
        <f t="shared" si="720"/>
        <v>Yes</v>
      </c>
      <c r="P602" s="396">
        <f t="shared" si="721"/>
        <v>1</v>
      </c>
      <c r="Q602" s="394">
        <f>SUM($P$4:P602)/COUNT($P$4:P602)</f>
        <v>0.54090150250417357</v>
      </c>
      <c r="S602" s="369">
        <v>17813.98</v>
      </c>
      <c r="T602" s="394">
        <f t="shared" si="722"/>
        <v>2.8478624721503865E-2</v>
      </c>
      <c r="U602" s="394">
        <f t="shared" si="723"/>
        <v>1.0755731310033694</v>
      </c>
      <c r="V602" s="395" t="str">
        <f t="shared" si="724"/>
        <v>Yes</v>
      </c>
      <c r="W602" s="396">
        <f t="shared" si="725"/>
        <v>1</v>
      </c>
      <c r="X602" s="394">
        <f>SUM($W$478:W602)/COUNT($W$478:W602)</f>
        <v>0.56000000000000005</v>
      </c>
      <c r="Z602" s="464">
        <v>4750.3999999999996</v>
      </c>
      <c r="AA602" s="465">
        <f t="shared" si="618"/>
        <v>3.9288355262294281E-2</v>
      </c>
    </row>
    <row r="603" spans="1:27" x14ac:dyDescent="0.15">
      <c r="A603" s="384">
        <f t="shared" si="620"/>
        <v>601</v>
      </c>
      <c r="B603" s="401">
        <f t="shared" si="667"/>
        <v>42033</v>
      </c>
      <c r="D603" s="390">
        <v>66397.3</v>
      </c>
      <c r="E603" s="387">
        <v>66397.3</v>
      </c>
      <c r="F603" s="387">
        <f t="shared" si="714"/>
        <v>-1146.6100000000006</v>
      </c>
      <c r="G603" s="388">
        <f t="shared" si="715"/>
        <v>-1.6975771760918246E-2</v>
      </c>
      <c r="H603" s="387">
        <f t="shared" si="716"/>
        <v>43541.450000000004</v>
      </c>
      <c r="I603" s="388">
        <f t="shared" si="717"/>
        <v>1.905046191675217</v>
      </c>
      <c r="L603" s="369">
        <v>2021.25</v>
      </c>
      <c r="M603" s="394">
        <f t="shared" si="718"/>
        <v>-2.0308751181445928E-2</v>
      </c>
      <c r="N603" s="394">
        <f t="shared" si="719"/>
        <v>1.1732001548253912</v>
      </c>
      <c r="O603" s="395" t="str">
        <f t="shared" si="720"/>
        <v>Yes</v>
      </c>
      <c r="P603" s="396">
        <f t="shared" si="721"/>
        <v>1</v>
      </c>
      <c r="Q603" s="394">
        <f>SUM($P$4:P603)/COUNT($P$4:P603)</f>
        <v>0.54166666666666663</v>
      </c>
      <c r="S603" s="369">
        <v>17416.849999999999</v>
      </c>
      <c r="T603" s="394">
        <f t="shared" si="722"/>
        <v>-2.2293165255602654E-2</v>
      </c>
      <c r="U603" s="394">
        <f t="shared" si="723"/>
        <v>1.0293020361938225</v>
      </c>
      <c r="V603" s="395" t="str">
        <f t="shared" si="724"/>
        <v>Yes</v>
      </c>
      <c r="W603" s="396">
        <f t="shared" si="725"/>
        <v>1</v>
      </c>
      <c r="X603" s="394">
        <f>SUM($W$478:W603)/COUNT($W$478:W603)</f>
        <v>0.56349206349206349</v>
      </c>
      <c r="Z603" s="464">
        <v>4683.41</v>
      </c>
      <c r="AA603" s="465">
        <f t="shared" si="618"/>
        <v>-1.4101970360390658E-2</v>
      </c>
    </row>
    <row r="604" spans="1:27" x14ac:dyDescent="0.15">
      <c r="A604" s="384">
        <f t="shared" si="620"/>
        <v>602</v>
      </c>
      <c r="B604" s="401">
        <f t="shared" si="667"/>
        <v>42040</v>
      </c>
      <c r="D604" s="390">
        <v>67480.17</v>
      </c>
      <c r="E604" s="387">
        <v>67480.17</v>
      </c>
      <c r="F604" s="387">
        <f t="shared" si="714"/>
        <v>1082.8699999999953</v>
      </c>
      <c r="G604" s="388">
        <f t="shared" si="715"/>
        <v>1.6308946297515003E-2</v>
      </c>
      <c r="H604" s="387">
        <f t="shared" si="716"/>
        <v>44624.32</v>
      </c>
      <c r="I604" s="388">
        <f t="shared" si="717"/>
        <v>1.9524244340070487</v>
      </c>
      <c r="L604" s="369">
        <v>2062.52</v>
      </c>
      <c r="M604" s="394">
        <f t="shared" si="718"/>
        <v>2.0418058132343875E-2</v>
      </c>
      <c r="N604" s="394">
        <f t="shared" si="719"/>
        <v>1.2175726819198349</v>
      </c>
      <c r="O604" s="395" t="str">
        <f t="shared" si="720"/>
        <v>No</v>
      </c>
      <c r="P604" s="396">
        <f t="shared" si="721"/>
        <v>0</v>
      </c>
      <c r="Q604" s="394">
        <f>SUM($P$4:P604)/COUNT($P$4:P604)</f>
        <v>0.54076539101497501</v>
      </c>
      <c r="S604" s="369">
        <v>17884.88</v>
      </c>
      <c r="T604" s="394">
        <f t="shared" si="722"/>
        <v>2.687225301934637E-2</v>
      </c>
      <c r="U604" s="394">
        <f t="shared" si="723"/>
        <v>1.0838339539630977</v>
      </c>
      <c r="V604" s="395" t="str">
        <f t="shared" si="724"/>
        <v>No</v>
      </c>
      <c r="W604" s="396">
        <f t="shared" si="725"/>
        <v>0</v>
      </c>
      <c r="X604" s="394">
        <f>SUM($W$478:W604)/COUNT($W$478:W604)</f>
        <v>0.55905511811023623</v>
      </c>
    </row>
    <row r="605" spans="1:27" x14ac:dyDescent="0.15">
      <c r="A605" s="384">
        <f t="shared" si="620"/>
        <v>603</v>
      </c>
      <c r="B605" s="401">
        <f t="shared" si="667"/>
        <v>42047</v>
      </c>
      <c r="D605" s="390">
        <v>67491.199999999997</v>
      </c>
      <c r="E605" s="387">
        <v>67491.199999999997</v>
      </c>
      <c r="F605" s="387">
        <f t="shared" si="714"/>
        <v>11.029999999998836</v>
      </c>
      <c r="G605" s="388">
        <f t="shared" si="715"/>
        <v>1.6345542697959736E-4</v>
      </c>
      <c r="H605" s="387">
        <f t="shared" si="716"/>
        <v>44635.35</v>
      </c>
      <c r="I605" s="388">
        <f t="shared" si="717"/>
        <v>1.952907023803534</v>
      </c>
      <c r="L605" s="369">
        <v>2088.48</v>
      </c>
      <c r="M605" s="394">
        <f t="shared" si="718"/>
        <v>1.2586544615325046E-2</v>
      </c>
      <c r="N605" s="394">
        <f t="shared" si="719"/>
        <v>1.2454842594185447</v>
      </c>
      <c r="O605" s="395" t="str">
        <f t="shared" si="720"/>
        <v>No</v>
      </c>
      <c r="P605" s="396">
        <f t="shared" si="721"/>
        <v>0</v>
      </c>
      <c r="Q605" s="394">
        <f>SUM($P$4:P605)/COUNT($P$4:P605)</f>
        <v>0.53986710963455153</v>
      </c>
      <c r="S605" s="369">
        <v>17972.38</v>
      </c>
      <c r="T605" s="394">
        <f t="shared" si="722"/>
        <v>4.8924007317914242E-3</v>
      </c>
      <c r="U605" s="394">
        <f t="shared" si="723"/>
        <v>1.0940289047243983</v>
      </c>
      <c r="V605" s="395" t="str">
        <f t="shared" si="724"/>
        <v>No</v>
      </c>
      <c r="W605" s="396">
        <f t="shared" si="725"/>
        <v>0</v>
      </c>
      <c r="X605" s="394">
        <f>SUM($W$478:W605)/COUNT($W$478:W605)</f>
        <v>0.5546875</v>
      </c>
    </row>
    <row r="606" spans="1:27" x14ac:dyDescent="0.15">
      <c r="A606" s="384">
        <f t="shared" si="620"/>
        <v>604</v>
      </c>
      <c r="B606" s="401">
        <f t="shared" si="667"/>
        <v>42054</v>
      </c>
      <c r="D606" s="390">
        <v>67746.73</v>
      </c>
      <c r="E606" s="387">
        <v>67746.73</v>
      </c>
      <c r="F606" s="387">
        <f t="shared" si="714"/>
        <v>255.52999999999884</v>
      </c>
      <c r="G606" s="388">
        <f t="shared" si="715"/>
        <v>3.7861232279170487E-3</v>
      </c>
      <c r="H606" s="387">
        <f t="shared" si="716"/>
        <v>44890.879999999997</v>
      </c>
      <c r="I606" s="388">
        <f t="shared" si="717"/>
        <v>1.9640870936762362</v>
      </c>
      <c r="L606" s="369">
        <v>2097.4499999999998</v>
      </c>
      <c r="M606" s="394">
        <f t="shared" si="718"/>
        <v>4.2949896575499302E-3</v>
      </c>
      <c r="N606" s="394">
        <f t="shared" si="719"/>
        <v>1.2551285910889383</v>
      </c>
      <c r="O606" s="395" t="str">
        <f t="shared" si="720"/>
        <v>No</v>
      </c>
      <c r="P606" s="396">
        <f t="shared" si="721"/>
        <v>0</v>
      </c>
      <c r="Q606" s="394">
        <f>SUM($P$4:P606)/COUNT($P$4:P606)</f>
        <v>0.53897180762852404</v>
      </c>
      <c r="S606" s="369">
        <v>17985.77</v>
      </c>
      <c r="T606" s="394">
        <f t="shared" si="722"/>
        <v>7.4503209925458336E-4</v>
      </c>
      <c r="U606" s="394">
        <f t="shared" si="723"/>
        <v>1.0955890234751848</v>
      </c>
      <c r="V606" s="395" t="str">
        <f t="shared" si="724"/>
        <v>Yes</v>
      </c>
      <c r="W606" s="396">
        <f t="shared" si="725"/>
        <v>1</v>
      </c>
      <c r="X606" s="394">
        <f>SUM($W$478:W606)/COUNT($W$478:W606)</f>
        <v>0.55813953488372092</v>
      </c>
    </row>
    <row r="607" spans="1:27" x14ac:dyDescent="0.15">
      <c r="A607" s="384">
        <f t="shared" si="620"/>
        <v>605</v>
      </c>
      <c r="B607" s="401">
        <f t="shared" si="667"/>
        <v>42061</v>
      </c>
      <c r="D607" s="390">
        <v>68589.37</v>
      </c>
      <c r="E607" s="387">
        <v>68589.37</v>
      </c>
      <c r="F607" s="387">
        <f t="shared" si="714"/>
        <v>842.63999999999942</v>
      </c>
      <c r="G607" s="388">
        <f t="shared" si="715"/>
        <v>1.2438091107866089E-2</v>
      </c>
      <c r="H607" s="387">
        <f t="shared" si="716"/>
        <v>45733.52</v>
      </c>
      <c r="I607" s="388">
        <f t="shared" si="717"/>
        <v>2.0009546789990309</v>
      </c>
      <c r="L607" s="369">
        <v>2105.0100000000002</v>
      </c>
      <c r="M607" s="394">
        <f t="shared" si="718"/>
        <v>3.6043767431883644E-3</v>
      </c>
      <c r="N607" s="394">
        <f t="shared" si="719"/>
        <v>1.2632569241355585</v>
      </c>
      <c r="O607" s="395" t="str">
        <f t="shared" si="720"/>
        <v>Yes</v>
      </c>
      <c r="P607" s="396">
        <f t="shared" si="721"/>
        <v>1</v>
      </c>
      <c r="Q607" s="394">
        <f>SUM($P$4:P607)/COUNT($P$4:P607)</f>
        <v>0.53973509933774833</v>
      </c>
      <c r="S607" s="369">
        <v>18169.060000000001</v>
      </c>
      <c r="T607" s="394">
        <f t="shared" si="722"/>
        <v>1.0190834198369192E-2</v>
      </c>
      <c r="U607" s="394">
        <f t="shared" si="723"/>
        <v>1.1169448237613429</v>
      </c>
      <c r="V607" s="395" t="str">
        <f t="shared" si="724"/>
        <v>Yes</v>
      </c>
      <c r="W607" s="396">
        <f t="shared" si="725"/>
        <v>1</v>
      </c>
      <c r="X607" s="394">
        <f>SUM($W$478:W607)/COUNT($W$478:W607)</f>
        <v>0.56153846153846154</v>
      </c>
    </row>
    <row r="608" spans="1:27" x14ac:dyDescent="0.15">
      <c r="A608" s="384">
        <f t="shared" si="620"/>
        <v>606</v>
      </c>
      <c r="B608" s="401">
        <f t="shared" si="667"/>
        <v>42068</v>
      </c>
      <c r="D608" s="390">
        <v>67809.66</v>
      </c>
      <c r="E608" s="387">
        <v>67809.66</v>
      </c>
      <c r="F608" s="387">
        <f t="shared" si="714"/>
        <v>-779.70999999999185</v>
      </c>
      <c r="G608" s="388">
        <f t="shared" si="715"/>
        <v>-1.1367796496745686E-2</v>
      </c>
      <c r="H608" s="387">
        <f t="shared" si="716"/>
        <v>44953.810000000005</v>
      </c>
      <c r="I608" s="388">
        <f t="shared" si="717"/>
        <v>1.966840436912213</v>
      </c>
      <c r="L608" s="369">
        <v>2101.04</v>
      </c>
      <c r="M608" s="394">
        <f t="shared" si="718"/>
        <v>-1.8859767887089429E-3</v>
      </c>
      <c r="N608" s="394">
        <f t="shared" si="719"/>
        <v>1.2589884741097537</v>
      </c>
      <c r="O608" s="395" t="str">
        <f t="shared" si="720"/>
        <v>No</v>
      </c>
      <c r="P608" s="396">
        <f t="shared" si="721"/>
        <v>0</v>
      </c>
      <c r="Q608" s="394">
        <f>SUM($P$4:P608)/COUNT($P$4:P608)</f>
        <v>0.53884297520661162</v>
      </c>
      <c r="S608" s="369">
        <v>18135.72</v>
      </c>
      <c r="T608" s="394">
        <f t="shared" si="722"/>
        <v>-1.8349876108064711E-3</v>
      </c>
      <c r="U608" s="394">
        <f t="shared" si="723"/>
        <v>1.1130602562369796</v>
      </c>
      <c r="V608" s="395" t="str">
        <f t="shared" si="724"/>
        <v>No</v>
      </c>
      <c r="W608" s="396">
        <f t="shared" si="725"/>
        <v>0</v>
      </c>
      <c r="X608" s="394">
        <f>SUM($W$478:W608)/COUNT($W$478:W608)</f>
        <v>0.5572519083969466</v>
      </c>
      <c r="Z608" s="464">
        <v>4982.8100000000004</v>
      </c>
    </row>
    <row r="609" spans="1:27" x14ac:dyDescent="0.15">
      <c r="A609" s="384">
        <f t="shared" si="620"/>
        <v>607</v>
      </c>
      <c r="B609" s="401">
        <f t="shared" si="667"/>
        <v>42075</v>
      </c>
      <c r="D609" s="390">
        <v>68196.23</v>
      </c>
      <c r="E609" s="387">
        <v>68196.23</v>
      </c>
      <c r="F609" s="387">
        <f t="shared" si="714"/>
        <v>386.56999999999243</v>
      </c>
      <c r="G609" s="388">
        <f t="shared" si="715"/>
        <v>5.7008101795523736E-3</v>
      </c>
      <c r="H609" s="387">
        <f t="shared" si="716"/>
        <v>45340.38</v>
      </c>
      <c r="I609" s="388">
        <f t="shared" si="717"/>
        <v>1.9837538310760703</v>
      </c>
      <c r="L609" s="369">
        <v>2065.9499999999998</v>
      </c>
      <c r="M609" s="394">
        <f t="shared" si="718"/>
        <v>-1.6701252712942205E-2</v>
      </c>
      <c r="N609" s="394">
        <f t="shared" si="719"/>
        <v>1.2212605367280229</v>
      </c>
      <c r="O609" s="395" t="str">
        <f t="shared" si="720"/>
        <v>Yes</v>
      </c>
      <c r="P609" s="396">
        <f t="shared" si="721"/>
        <v>1</v>
      </c>
      <c r="Q609" s="394">
        <f>SUM($P$4:P609)/COUNT($P$4:P609)</f>
        <v>0.53960396039603964</v>
      </c>
      <c r="S609" s="369">
        <v>17895.22</v>
      </c>
      <c r="T609" s="394">
        <f t="shared" si="722"/>
        <v>-1.3261122249351054E-2</v>
      </c>
      <c r="U609" s="394">
        <f t="shared" si="723"/>
        <v>1.0850387058587763</v>
      </c>
      <c r="V609" s="395" t="str">
        <f t="shared" si="724"/>
        <v>Yes</v>
      </c>
      <c r="W609" s="396">
        <f t="shared" si="725"/>
        <v>1</v>
      </c>
      <c r="X609" s="394">
        <f>SUM($W$478:W609)/COUNT($W$478:W609)</f>
        <v>0.56060606060606055</v>
      </c>
      <c r="Z609" s="464">
        <v>4893.29</v>
      </c>
      <c r="AA609" s="465">
        <f t="shared" si="618"/>
        <v>-1.7965766304555146E-2</v>
      </c>
    </row>
    <row r="610" spans="1:27" x14ac:dyDescent="0.15">
      <c r="A610" s="384">
        <f t="shared" si="620"/>
        <v>608</v>
      </c>
      <c r="B610" s="401">
        <f t="shared" si="667"/>
        <v>42082</v>
      </c>
      <c r="D610" s="390">
        <f>D609*(1+$AA610)</f>
        <v>69577.215886939055</v>
      </c>
      <c r="E610" s="387">
        <f>E609*(1+$AA610)</f>
        <v>69577.215886939055</v>
      </c>
      <c r="F610" s="387">
        <f t="shared" si="714"/>
        <v>1380.9858869390591</v>
      </c>
      <c r="G610" s="388">
        <f t="shared" si="715"/>
        <v>2.025017932720119E-2</v>
      </c>
      <c r="H610" s="387">
        <f t="shared" si="716"/>
        <v>46721.365886939057</v>
      </c>
      <c r="I610" s="388">
        <f t="shared" si="717"/>
        <v>2.0441753812235843</v>
      </c>
      <c r="L610" s="369">
        <v>2089.27</v>
      </c>
      <c r="M610" s="394">
        <f t="shared" si="718"/>
        <v>1.1287785280379659E-2</v>
      </c>
      <c r="N610" s="394">
        <f t="shared" si="719"/>
        <v>1.2463336487183896</v>
      </c>
      <c r="O610" s="395" t="str">
        <f t="shared" si="720"/>
        <v>Yes</v>
      </c>
      <c r="P610" s="396">
        <f t="shared" si="721"/>
        <v>1</v>
      </c>
      <c r="Q610" s="394">
        <f>SUM($P$4:P610)/COUNT($P$4:P610)</f>
        <v>0.5403624382207578</v>
      </c>
      <c r="S610" s="369">
        <v>17959.03</v>
      </c>
      <c r="T610" s="394">
        <f t="shared" si="722"/>
        <v>3.5657566657463224E-3</v>
      </c>
      <c r="U610" s="394">
        <f t="shared" si="723"/>
        <v>1.0924734465225314</v>
      </c>
      <c r="V610" s="395" t="str">
        <f t="shared" si="724"/>
        <v>Yes</v>
      </c>
      <c r="W610" s="396">
        <f t="shared" si="725"/>
        <v>1</v>
      </c>
      <c r="X610" s="394">
        <f>SUM($W$478:W610)/COUNT($W$478:W610)</f>
        <v>0.56390977443609025</v>
      </c>
      <c r="Z610" s="464">
        <v>4992.38</v>
      </c>
      <c r="AA610" s="465">
        <f t="shared" si="618"/>
        <v>2.0250179327201155E-2</v>
      </c>
    </row>
    <row r="611" spans="1:27" x14ac:dyDescent="0.15">
      <c r="A611" s="384">
        <f t="shared" si="620"/>
        <v>609</v>
      </c>
      <c r="B611" s="401">
        <f t="shared" si="667"/>
        <v>42089</v>
      </c>
      <c r="D611" s="390">
        <v>67353.45</v>
      </c>
      <c r="E611" s="387">
        <v>67353.45</v>
      </c>
      <c r="F611" s="387">
        <f t="shared" si="714"/>
        <v>-2223.765886939058</v>
      </c>
      <c r="G611" s="388">
        <f t="shared" si="715"/>
        <v>-3.1961122022367339E-2</v>
      </c>
      <c r="H611" s="387">
        <f t="shared" si="716"/>
        <v>44497.599999999999</v>
      </c>
      <c r="I611" s="388">
        <f t="shared" si="717"/>
        <v>1.9468801204068105</v>
      </c>
      <c r="L611" s="369">
        <v>2056.15</v>
      </c>
      <c r="M611" s="394">
        <f t="shared" si="718"/>
        <v>-1.5852426924236607E-2</v>
      </c>
      <c r="N611" s="394">
        <f t="shared" si="719"/>
        <v>1.2107238087046275</v>
      </c>
      <c r="O611" s="395" t="str">
        <f t="shared" si="720"/>
        <v>No</v>
      </c>
      <c r="P611" s="396">
        <f t="shared" si="721"/>
        <v>0</v>
      </c>
      <c r="Q611" s="394">
        <f>SUM($P$4:P611)/COUNT($P$4:P611)</f>
        <v>0.53947368421052633</v>
      </c>
      <c r="S611" s="369">
        <v>17678.23</v>
      </c>
      <c r="T611" s="394">
        <f t="shared" si="722"/>
        <v>-1.5635588336341044E-2</v>
      </c>
      <c r="U611" s="394">
        <f t="shared" si="723"/>
        <v>1.0597563931079801</v>
      </c>
      <c r="V611" s="395" t="str">
        <f t="shared" si="724"/>
        <v>No</v>
      </c>
      <c r="W611" s="396">
        <f t="shared" si="725"/>
        <v>0</v>
      </c>
      <c r="X611" s="394">
        <f>SUM($W$478:W611)/COUNT($W$478:W611)</f>
        <v>0.55970149253731338</v>
      </c>
      <c r="Z611" s="464">
        <v>4863.3599999999997</v>
      </c>
      <c r="AA611" s="465">
        <f t="shared" si="618"/>
        <v>-2.584338531922659E-2</v>
      </c>
    </row>
    <row r="612" spans="1:27" x14ac:dyDescent="0.15">
      <c r="A612" s="384">
        <f t="shared" si="620"/>
        <v>610</v>
      </c>
      <c r="B612" s="401">
        <f t="shared" si="667"/>
        <v>42096</v>
      </c>
      <c r="D612" s="390">
        <v>67910.990000000005</v>
      </c>
      <c r="E612" s="387">
        <v>67910.990000000005</v>
      </c>
      <c r="F612" s="387">
        <f t="shared" si="714"/>
        <v>557.54000000000815</v>
      </c>
      <c r="G612" s="388">
        <f t="shared" si="715"/>
        <v>8.2778239273564314E-3</v>
      </c>
      <c r="H612" s="387">
        <f t="shared" si="716"/>
        <v>45055.140000000007</v>
      </c>
      <c r="I612" s="388">
        <f t="shared" si="717"/>
        <v>1.9712738751785652</v>
      </c>
      <c r="L612" s="369">
        <v>2066.96</v>
      </c>
      <c r="M612" s="394">
        <f t="shared" si="718"/>
        <v>5.2573985360990783E-3</v>
      </c>
      <c r="N612" s="394">
        <f t="shared" si="719"/>
        <v>1.2223464648202302</v>
      </c>
      <c r="O612" s="395" t="str">
        <f t="shared" si="720"/>
        <v>Yes</v>
      </c>
      <c r="P612" s="396">
        <f t="shared" si="721"/>
        <v>1</v>
      </c>
      <c r="Q612" s="394">
        <f>SUM($P$4:P612)/COUNT($P$4:P612)</f>
        <v>0.54022988505747127</v>
      </c>
      <c r="S612" s="369">
        <v>17763.240000000002</v>
      </c>
      <c r="T612" s="394">
        <f t="shared" si="722"/>
        <v>4.8087393364608655E-3</v>
      </c>
      <c r="U612" s="394">
        <f t="shared" si="723"/>
        <v>1.0696612246990451</v>
      </c>
      <c r="V612" s="395" t="str">
        <f t="shared" si="724"/>
        <v>Yes</v>
      </c>
      <c r="W612" s="396">
        <f t="shared" si="725"/>
        <v>1</v>
      </c>
      <c r="X612" s="394">
        <f>SUM($W$478:W612)/COUNT($W$478:W612)</f>
        <v>0.562962962962963</v>
      </c>
    </row>
    <row r="613" spans="1:27" x14ac:dyDescent="0.15">
      <c r="A613" s="384">
        <f t="shared" si="620"/>
        <v>611</v>
      </c>
      <c r="B613" s="401">
        <f t="shared" si="667"/>
        <v>42103</v>
      </c>
      <c r="D613" s="390">
        <v>69041.289999999994</v>
      </c>
      <c r="E613" s="387">
        <v>69041.289999999994</v>
      </c>
      <c r="F613" s="387">
        <f t="shared" si="714"/>
        <v>1130.2999999999884</v>
      </c>
      <c r="G613" s="388">
        <f t="shared" si="715"/>
        <v>1.6643845127275902E-2</v>
      </c>
      <c r="H613" s="387">
        <f t="shared" si="716"/>
        <v>46185.439999999995</v>
      </c>
      <c r="I613" s="388">
        <f t="shared" si="717"/>
        <v>2.0207272973877584</v>
      </c>
      <c r="L613" s="369">
        <v>2091.1799999999998</v>
      </c>
      <c r="M613" s="394">
        <f t="shared" si="718"/>
        <v>1.1717691682470832E-2</v>
      </c>
      <c r="N613" s="394">
        <f t="shared" si="719"/>
        <v>1.2483872355066228</v>
      </c>
      <c r="O613" s="395" t="str">
        <f t="shared" si="720"/>
        <v>Yes</v>
      </c>
      <c r="P613" s="396">
        <f t="shared" si="721"/>
        <v>1</v>
      </c>
      <c r="Q613" s="394">
        <f>SUM($P$4:P613)/COUNT($P$4:P613)</f>
        <v>0.54098360655737709</v>
      </c>
      <c r="S613" s="369">
        <v>17958.73</v>
      </c>
      <c r="T613" s="394">
        <f t="shared" si="722"/>
        <v>1.1005312093964825E-2</v>
      </c>
      <c r="U613" s="394">
        <f t="shared" si="723"/>
        <v>1.0924384924056354</v>
      </c>
      <c r="V613" s="395" t="str">
        <f t="shared" si="724"/>
        <v>Yes</v>
      </c>
      <c r="W613" s="396">
        <f t="shared" si="725"/>
        <v>1</v>
      </c>
      <c r="X613" s="394">
        <f>SUM($W$478:W613)/COUNT($W$478:W613)</f>
        <v>0.56617647058823528</v>
      </c>
    </row>
    <row r="614" spans="1:27" x14ac:dyDescent="0.15">
      <c r="A614" s="384">
        <f t="shared" si="620"/>
        <v>612</v>
      </c>
      <c r="B614" s="401">
        <f t="shared" si="667"/>
        <v>42110</v>
      </c>
      <c r="D614" s="390">
        <v>69568.41</v>
      </c>
      <c r="E614" s="387">
        <v>69568.41</v>
      </c>
      <c r="F614" s="387">
        <f t="shared" si="714"/>
        <v>527.1200000000099</v>
      </c>
      <c r="G614" s="388">
        <f t="shared" si="715"/>
        <v>7.6348515504274239E-3</v>
      </c>
      <c r="H614" s="387">
        <f t="shared" si="716"/>
        <v>46712.560000000005</v>
      </c>
      <c r="I614" s="388">
        <f t="shared" si="717"/>
        <v>2.0437901018776379</v>
      </c>
      <c r="L614" s="369">
        <v>2104.9899999999998</v>
      </c>
      <c r="M614" s="394">
        <f t="shared" si="718"/>
        <v>6.6039269694622149E-3</v>
      </c>
      <c r="N614" s="394">
        <f t="shared" si="719"/>
        <v>1.2632354206089795</v>
      </c>
      <c r="O614" s="395" t="str">
        <f t="shared" si="720"/>
        <v>Yes</v>
      </c>
      <c r="P614" s="396">
        <f t="shared" si="721"/>
        <v>1</v>
      </c>
      <c r="Q614" s="394">
        <f>SUM($P$4:P614)/COUNT($P$4:P614)</f>
        <v>0.54173486088379708</v>
      </c>
      <c r="S614" s="369">
        <v>18105.77</v>
      </c>
      <c r="T614" s="394">
        <f t="shared" si="722"/>
        <v>8.1876613769460427E-3</v>
      </c>
      <c r="U614" s="394">
        <f t="shared" si="723"/>
        <v>1.1095706702335399</v>
      </c>
      <c r="V614" s="395" t="str">
        <f t="shared" si="724"/>
        <v>No</v>
      </c>
      <c r="W614" s="396">
        <f t="shared" si="725"/>
        <v>0</v>
      </c>
      <c r="X614" s="394">
        <f>SUM($W$478:W614)/COUNT($W$478:W614)</f>
        <v>0.56204379562043794</v>
      </c>
    </row>
    <row r="615" spans="1:27" x14ac:dyDescent="0.15">
      <c r="A615" s="384">
        <f t="shared" si="620"/>
        <v>613</v>
      </c>
      <c r="B615" s="401">
        <f t="shared" si="667"/>
        <v>42117</v>
      </c>
      <c r="D615" s="390">
        <v>69348.52</v>
      </c>
      <c r="E615" s="387">
        <v>69348.52</v>
      </c>
      <c r="F615" s="387">
        <f t="shared" si="714"/>
        <v>-219.88999999999942</v>
      </c>
      <c r="G615" s="388">
        <f t="shared" si="715"/>
        <v>-3.1607736902424799E-3</v>
      </c>
      <c r="H615" s="387">
        <f t="shared" si="716"/>
        <v>46492.670000000006</v>
      </c>
      <c r="I615" s="388">
        <f t="shared" si="717"/>
        <v>2.0341693702050025</v>
      </c>
      <c r="L615" s="369">
        <v>2112.9299999999998</v>
      </c>
      <c r="M615" s="394">
        <f t="shared" si="718"/>
        <v>3.7719894156267308E-3</v>
      </c>
      <c r="N615" s="394">
        <f t="shared" si="719"/>
        <v>1.2717723206605882</v>
      </c>
      <c r="O615" s="395" t="str">
        <f t="shared" si="720"/>
        <v>No</v>
      </c>
      <c r="P615" s="396">
        <f t="shared" si="721"/>
        <v>0</v>
      </c>
      <c r="Q615" s="394">
        <f>SUM($P$4:P615)/COUNT($P$4:P615)</f>
        <v>0.54084967320261434</v>
      </c>
      <c r="S615" s="369">
        <v>18058.689999999999</v>
      </c>
      <c r="T615" s="394">
        <f t="shared" si="722"/>
        <v>-2.6002760445980044E-3</v>
      </c>
      <c r="U615" s="394">
        <f t="shared" si="723"/>
        <v>1.1040852041553451</v>
      </c>
      <c r="V615" s="395" t="str">
        <f t="shared" si="724"/>
        <v>No</v>
      </c>
      <c r="W615" s="396">
        <f t="shared" si="725"/>
        <v>0</v>
      </c>
      <c r="X615" s="394">
        <f>SUM($W$478:W615)/COUNT($W$478:W615)</f>
        <v>0.55797101449275366</v>
      </c>
    </row>
    <row r="616" spans="1:27" x14ac:dyDescent="0.15">
      <c r="A616" s="384">
        <f t="shared" si="620"/>
        <v>614</v>
      </c>
      <c r="B616" s="401">
        <f t="shared" si="667"/>
        <v>42124</v>
      </c>
      <c r="D616" s="390">
        <v>67931</v>
      </c>
      <c r="E616" s="387">
        <v>67931</v>
      </c>
      <c r="F616" s="387">
        <f t="shared" si="714"/>
        <v>-1417.5200000000041</v>
      </c>
      <c r="G616" s="388">
        <f t="shared" si="715"/>
        <v>-2.0440522739346156E-2</v>
      </c>
      <c r="H616" s="387">
        <f t="shared" si="716"/>
        <v>45075.15</v>
      </c>
      <c r="I616" s="388">
        <f t="shared" si="717"/>
        <v>1.9721493621982997</v>
      </c>
      <c r="L616" s="369">
        <v>2085.5100000000002</v>
      </c>
      <c r="M616" s="394">
        <f t="shared" si="718"/>
        <v>-1.2977240135735535E-2</v>
      </c>
      <c r="N616" s="394">
        <f t="shared" si="719"/>
        <v>1.2422909857216586</v>
      </c>
      <c r="O616" s="395" t="str">
        <f t="shared" si="720"/>
        <v>No</v>
      </c>
      <c r="P616" s="396">
        <f t="shared" si="721"/>
        <v>0</v>
      </c>
      <c r="Q616" s="394">
        <f>SUM($P$4:P616)/COUNT($P$4:P616)</f>
        <v>0.53996737357259383</v>
      </c>
      <c r="S616" s="369">
        <v>17840.52</v>
      </c>
      <c r="T616" s="394">
        <f t="shared" si="722"/>
        <v>-1.2081164248347931E-2</v>
      </c>
      <c r="U616" s="394">
        <f t="shared" si="723"/>
        <v>1.0786654052114257</v>
      </c>
      <c r="V616" s="395" t="str">
        <f t="shared" si="724"/>
        <v>No</v>
      </c>
      <c r="W616" s="396">
        <f t="shared" si="725"/>
        <v>0</v>
      </c>
      <c r="X616" s="394">
        <f>SUM($W$478:W616)/COUNT($W$478:W616)</f>
        <v>0.5539568345323741</v>
      </c>
    </row>
    <row r="617" spans="1:27" x14ac:dyDescent="0.15">
      <c r="A617" s="384">
        <f t="shared" si="620"/>
        <v>615</v>
      </c>
      <c r="B617" s="401">
        <f t="shared" si="667"/>
        <v>42131</v>
      </c>
      <c r="D617" s="390">
        <v>68437.53</v>
      </c>
      <c r="E617" s="387">
        <v>68437.53</v>
      </c>
      <c r="F617" s="387">
        <f t="shared" si="714"/>
        <v>506.52999999999884</v>
      </c>
      <c r="G617" s="388">
        <f t="shared" si="715"/>
        <v>7.4565367799679372E-3</v>
      </c>
      <c r="H617" s="387">
        <f t="shared" si="716"/>
        <v>45581.68</v>
      </c>
      <c r="I617" s="388">
        <f t="shared" si="717"/>
        <v>1.9943113032330895</v>
      </c>
      <c r="L617" s="369">
        <v>2088</v>
      </c>
      <c r="M617" s="394">
        <f t="shared" si="718"/>
        <v>1.1939525583668509E-3</v>
      </c>
      <c r="N617" s="394">
        <f t="shared" si="719"/>
        <v>1.2449681747806638</v>
      </c>
      <c r="O617" s="395" t="str">
        <f t="shared" si="720"/>
        <v>Yes</v>
      </c>
      <c r="P617" s="396">
        <f t="shared" si="721"/>
        <v>1</v>
      </c>
      <c r="Q617" s="394">
        <f>SUM($P$4:P617)/COUNT($P$4:P617)</f>
        <v>0.54071661237785018</v>
      </c>
      <c r="S617" s="369">
        <v>17924.060000000001</v>
      </c>
      <c r="T617" s="394">
        <f t="shared" si="722"/>
        <v>4.6825989376990673E-3</v>
      </c>
      <c r="U617" s="394">
        <f t="shared" si="723"/>
        <v>1.088398961629701</v>
      </c>
      <c r="V617" s="395" t="str">
        <f t="shared" si="724"/>
        <v>Yes</v>
      </c>
      <c r="W617" s="396">
        <f t="shared" si="725"/>
        <v>1</v>
      </c>
      <c r="X617" s="394">
        <f>SUM($W$478:W617)/COUNT($W$478:W617)</f>
        <v>0.55714285714285716</v>
      </c>
    </row>
    <row r="618" spans="1:27" x14ac:dyDescent="0.15">
      <c r="A618" s="384">
        <f t="shared" si="620"/>
        <v>616</v>
      </c>
      <c r="B618" s="401">
        <f t="shared" si="667"/>
        <v>42138</v>
      </c>
      <c r="D618" s="390">
        <v>69426.179999999993</v>
      </c>
      <c r="E618" s="387">
        <v>69426.179999999993</v>
      </c>
      <c r="F618" s="387">
        <f t="shared" si="714"/>
        <v>988.64999999999418</v>
      </c>
      <c r="G618" s="388">
        <f t="shared" si="715"/>
        <v>1.4446021064757897E-2</v>
      </c>
      <c r="H618" s="387">
        <f t="shared" si="716"/>
        <v>46570.329999999994</v>
      </c>
      <c r="I618" s="388">
        <f t="shared" si="717"/>
        <v>2.0375671873940369</v>
      </c>
      <c r="L618" s="369">
        <v>2121.1</v>
      </c>
      <c r="M618" s="394">
        <f t="shared" si="718"/>
        <v>1.5852490421455867E-2</v>
      </c>
      <c r="N618" s="394">
        <f t="shared" si="719"/>
        <v>1.2805565112678479</v>
      </c>
      <c r="O618" s="395" t="str">
        <f t="shared" si="720"/>
        <v>No</v>
      </c>
      <c r="P618" s="396">
        <f t="shared" si="721"/>
        <v>0</v>
      </c>
      <c r="Q618" s="394">
        <f>SUM($P$4:P618)/COUNT($P$4:P618)</f>
        <v>0.5398373983739837</v>
      </c>
      <c r="S618" s="369">
        <v>18252.240000000002</v>
      </c>
      <c r="T618" s="394">
        <f t="shared" si="722"/>
        <v>1.8309467832622772E-2</v>
      </c>
      <c r="U618" s="394">
        <f t="shared" si="723"/>
        <v>1.1266364352393428</v>
      </c>
      <c r="V618" s="395" t="str">
        <f t="shared" si="724"/>
        <v>No</v>
      </c>
      <c r="W618" s="396">
        <f t="shared" si="725"/>
        <v>0</v>
      </c>
      <c r="X618" s="394">
        <f>SUM($W$478:W618)/COUNT($W$478:W618)</f>
        <v>0.55319148936170215</v>
      </c>
    </row>
    <row r="619" spans="1:27" x14ac:dyDescent="0.15">
      <c r="A619" s="384">
        <f t="shared" si="620"/>
        <v>617</v>
      </c>
      <c r="B619" s="401">
        <f t="shared" si="667"/>
        <v>42145</v>
      </c>
      <c r="D619" s="390">
        <v>69457.95</v>
      </c>
      <c r="E619" s="387">
        <v>69457.95</v>
      </c>
      <c r="F619" s="387">
        <f t="shared" si="714"/>
        <v>31.770000000004075</v>
      </c>
      <c r="G619" s="388">
        <f t="shared" si="715"/>
        <v>4.5760835465813443E-4</v>
      </c>
      <c r="H619" s="387">
        <f t="shared" si="716"/>
        <v>46602.1</v>
      </c>
      <c r="I619" s="388">
        <f t="shared" si="717"/>
        <v>2.0389572035168242</v>
      </c>
      <c r="L619" s="369">
        <v>2130.8200000000002</v>
      </c>
      <c r="M619" s="394">
        <f t="shared" si="718"/>
        <v>4.5825279336195734E-3</v>
      </c>
      <c r="N619" s="394">
        <f t="shared" si="719"/>
        <v>1.2910072251849303</v>
      </c>
      <c r="O619" s="395" t="str">
        <f t="shared" si="720"/>
        <v>No</v>
      </c>
      <c r="P619" s="396">
        <f t="shared" si="721"/>
        <v>0</v>
      </c>
      <c r="Q619" s="394">
        <f>SUM($P$4:P619)/COUNT($P$4:P619)</f>
        <v>0.53896103896103897</v>
      </c>
      <c r="S619" s="369">
        <v>18285.740000000002</v>
      </c>
      <c r="T619" s="394">
        <f t="shared" si="722"/>
        <v>1.8353911629476194E-3</v>
      </c>
      <c r="U619" s="394">
        <f t="shared" si="723"/>
        <v>1.1305396449593834</v>
      </c>
      <c r="V619" s="395" t="str">
        <f t="shared" si="724"/>
        <v>No</v>
      </c>
      <c r="W619" s="396">
        <f t="shared" si="725"/>
        <v>0</v>
      </c>
      <c r="X619" s="394">
        <f>SUM($W$478:W619)/COUNT($W$478:W619)</f>
        <v>0.54929577464788737</v>
      </c>
    </row>
    <row r="620" spans="1:27" x14ac:dyDescent="0.15">
      <c r="A620" s="384">
        <f t="shared" si="620"/>
        <v>618</v>
      </c>
      <c r="B620" s="401">
        <f t="shared" si="667"/>
        <v>42152</v>
      </c>
      <c r="D620" s="390">
        <v>68761.95</v>
      </c>
      <c r="E620" s="387">
        <v>68761.95</v>
      </c>
      <c r="F620" s="387">
        <f t="shared" si="714"/>
        <v>-696</v>
      </c>
      <c r="G620" s="388">
        <f t="shared" si="715"/>
        <v>-1.0020451222646165E-2</v>
      </c>
      <c r="H620" s="387">
        <f t="shared" si="716"/>
        <v>45906.1</v>
      </c>
      <c r="I620" s="388">
        <f t="shared" si="717"/>
        <v>2.0085054810912744</v>
      </c>
      <c r="L620" s="369">
        <v>2120.79</v>
      </c>
      <c r="M620" s="394">
        <f t="shared" si="718"/>
        <v>-4.7071080616852834E-3</v>
      </c>
      <c r="N620" s="394">
        <f t="shared" si="719"/>
        <v>1.2802232066058834</v>
      </c>
      <c r="O620" s="395" t="str">
        <f t="shared" si="720"/>
        <v>No</v>
      </c>
      <c r="P620" s="396">
        <f t="shared" si="721"/>
        <v>0</v>
      </c>
      <c r="Q620" s="394">
        <f>SUM($P$4:P620)/COUNT($P$4:P620)</f>
        <v>0.53808752025931927</v>
      </c>
      <c r="S620" s="369">
        <v>18126.12</v>
      </c>
      <c r="T620" s="394">
        <f t="shared" si="722"/>
        <v>-8.7292064745535525E-3</v>
      </c>
      <c r="U620" s="394">
        <f t="shared" si="723"/>
        <v>1.1119417244963108</v>
      </c>
      <c r="V620" s="395" t="str">
        <f t="shared" si="724"/>
        <v>No</v>
      </c>
      <c r="W620" s="396">
        <f t="shared" si="725"/>
        <v>0</v>
      </c>
      <c r="X620" s="394">
        <f>SUM($W$478:W620)/COUNT($W$478:W620)</f>
        <v>0.54545454545454541</v>
      </c>
    </row>
    <row r="621" spans="1:27" x14ac:dyDescent="0.15">
      <c r="A621" s="384">
        <f t="shared" si="620"/>
        <v>619</v>
      </c>
      <c r="B621" s="401">
        <f t="shared" si="667"/>
        <v>42159</v>
      </c>
      <c r="D621" s="390">
        <v>68419</v>
      </c>
      <c r="E621" s="387">
        <v>68419</v>
      </c>
      <c r="F621" s="387">
        <f t="shared" ref="F621" si="727">E621-E620</f>
        <v>-342.94999999999709</v>
      </c>
      <c r="G621" s="388">
        <f t="shared" ref="G621" si="728">(E621/E620)-1</f>
        <v>-4.9874967187520935E-3</v>
      </c>
      <c r="H621" s="387">
        <f t="shared" si="716"/>
        <v>45563.15</v>
      </c>
      <c r="I621" s="388">
        <f t="shared" si="717"/>
        <v>1.9935005698759838</v>
      </c>
      <c r="L621" s="369">
        <v>2095.84</v>
      </c>
      <c r="M621" s="394">
        <f t="shared" ref="M621:M623" si="729">L621/L620-1</f>
        <v>-1.176448398945662E-2</v>
      </c>
      <c r="N621" s="394">
        <f t="shared" ref="N621:N623" si="730">(L621/$L$3)-1</f>
        <v>1.253397557199381</v>
      </c>
      <c r="O621" s="395" t="str">
        <f t="shared" ref="O621" si="731">IF(G621&gt;M621,"Yes","No")</f>
        <v>Yes</v>
      </c>
      <c r="P621" s="396">
        <f t="shared" ref="P621" si="732">IF(O621="Yes",1,0)</f>
        <v>1</v>
      </c>
      <c r="Q621" s="394">
        <f>SUM($P$4:P621)/COUNT($P$4:P621)</f>
        <v>0.53883495145631066</v>
      </c>
      <c r="S621" s="369">
        <v>17905.580000000002</v>
      </c>
      <c r="T621" s="394">
        <f t="shared" ref="T621:T623" si="733">S621/S620-1</f>
        <v>-1.2166972302952717E-2</v>
      </c>
      <c r="U621" s="394">
        <f t="shared" ref="U621:U623" si="734">(S621/$S$3)-1</f>
        <v>1.086245788028914</v>
      </c>
      <c r="V621" s="395" t="str">
        <f t="shared" ref="V621" si="735">IF(G621&gt;T621,"Yes","No")</f>
        <v>Yes</v>
      </c>
      <c r="W621" s="396">
        <f t="shared" ref="W621" si="736">IF(V621="Yes",1,0)</f>
        <v>1</v>
      </c>
      <c r="X621" s="394">
        <f>SUM($W$478:W621)/COUNT($W$478:W621)</f>
        <v>0.54861111111111116</v>
      </c>
    </row>
    <row r="622" spans="1:27" x14ac:dyDescent="0.15">
      <c r="A622" s="384">
        <f t="shared" si="620"/>
        <v>620</v>
      </c>
      <c r="B622" s="401">
        <f t="shared" si="667"/>
        <v>42166</v>
      </c>
      <c r="D622" s="390">
        <v>68912.69</v>
      </c>
      <c r="E622" s="387">
        <v>68912.69</v>
      </c>
      <c r="F622" s="387">
        <f t="shared" ref="F622" si="737">E622-E621</f>
        <v>493.69000000000233</v>
      </c>
      <c r="G622" s="388">
        <f t="shared" ref="G622" si="738">(E622/E621)-1</f>
        <v>7.2156857013403464E-3</v>
      </c>
      <c r="H622" s="387">
        <f t="shared" ref="H622" si="739">E622-$D$3</f>
        <v>46056.840000000004</v>
      </c>
      <c r="I622" s="388">
        <f t="shared" ref="I622" si="740">(E622/$D$3)-1</f>
        <v>2.0151007291349918</v>
      </c>
      <c r="L622" s="369">
        <v>2108.86</v>
      </c>
      <c r="M622" s="394">
        <f t="shared" si="729"/>
        <v>6.212306282922242E-3</v>
      </c>
      <c r="N622" s="394">
        <f t="shared" si="730"/>
        <v>1.2673963530018924</v>
      </c>
      <c r="O622" s="395" t="str">
        <f t="shared" ref="O622" si="741">IF(G622&gt;M622,"Yes","No")</f>
        <v>Yes</v>
      </c>
      <c r="P622" s="396">
        <f t="shared" ref="P622" si="742">IF(O622="Yes",1,0)</f>
        <v>1</v>
      </c>
      <c r="Q622" s="394">
        <f>SUM($P$4:P622)/COUNT($P$4:P622)</f>
        <v>0.5395799676898223</v>
      </c>
      <c r="S622" s="369">
        <v>18039.37</v>
      </c>
      <c r="T622" s="394">
        <f t="shared" si="733"/>
        <v>7.4719724242384711E-3</v>
      </c>
      <c r="U622" s="394">
        <f t="shared" si="734"/>
        <v>1.1018341590272502</v>
      </c>
      <c r="V622" s="395" t="str">
        <f t="shared" ref="V622" si="743">IF(G622&gt;T622,"Yes","No")</f>
        <v>No</v>
      </c>
      <c r="W622" s="396">
        <f t="shared" ref="W622" si="744">IF(V622="Yes",1,0)</f>
        <v>0</v>
      </c>
      <c r="X622" s="394">
        <f>SUM($W$478:W622)/COUNT($W$478:W622)</f>
        <v>0.54482758620689653</v>
      </c>
    </row>
    <row r="623" spans="1:27" x14ac:dyDescent="0.15">
      <c r="A623" s="384">
        <f t="shared" si="620"/>
        <v>621</v>
      </c>
      <c r="B623" s="401">
        <f t="shared" si="667"/>
        <v>42173</v>
      </c>
      <c r="D623" s="390">
        <v>69816.850000000006</v>
      </c>
      <c r="E623" s="387">
        <v>69816.850000000006</v>
      </c>
      <c r="F623" s="387">
        <f t="shared" ref="F623" si="745">E623-E622</f>
        <v>904.16000000000349</v>
      </c>
      <c r="G623" s="388">
        <f t="shared" ref="G623" si="746">(E623/E622)-1</f>
        <v>1.3120370137923887E-2</v>
      </c>
      <c r="H623" s="387">
        <f t="shared" ref="H623" si="747">E623-$D$3</f>
        <v>46961.000000000007</v>
      </c>
      <c r="I623" s="388">
        <f t="shared" ref="I623" si="748">(E623/$D$3)-1</f>
        <v>2.0546599667043672</v>
      </c>
      <c r="L623" s="369">
        <v>2121.2399999999998</v>
      </c>
      <c r="M623" s="394">
        <f t="shared" si="729"/>
        <v>5.8704703014897941E-3</v>
      </c>
      <c r="N623" s="394">
        <f t="shared" si="730"/>
        <v>1.2807070359538959</v>
      </c>
      <c r="O623" s="395" t="str">
        <f t="shared" ref="O623" si="749">IF(G623&gt;M623,"Yes","No")</f>
        <v>Yes</v>
      </c>
      <c r="P623" s="396">
        <f t="shared" ref="P623" si="750">IF(O623="Yes",1,0)</f>
        <v>1</v>
      </c>
      <c r="Q623" s="394">
        <f>SUM($P$4:P623)/COUNT($P$4:P623)</f>
        <v>0.54032258064516125</v>
      </c>
      <c r="S623" s="369">
        <v>18115.84</v>
      </c>
      <c r="T623" s="394">
        <f t="shared" si="733"/>
        <v>4.2390615636800355E-3</v>
      </c>
      <c r="U623" s="394">
        <f t="shared" si="734"/>
        <v>1.1107439634240119</v>
      </c>
      <c r="V623" s="395" t="str">
        <f t="shared" ref="V623" si="751">IF(G623&gt;T623,"Yes","No")</f>
        <v>Yes</v>
      </c>
      <c r="W623" s="396">
        <f t="shared" ref="W623" si="752">IF(V623="Yes",1,0)</f>
        <v>1</v>
      </c>
      <c r="X623" s="394">
        <f>SUM($W$478:W623)/COUNT($W$478:W623)</f>
        <v>0.54794520547945202</v>
      </c>
    </row>
    <row r="624" spans="1:27" x14ac:dyDescent="0.15">
      <c r="A624" s="384">
        <f t="shared" si="620"/>
        <v>622</v>
      </c>
      <c r="B624" s="401">
        <f t="shared" si="667"/>
        <v>42180</v>
      </c>
      <c r="D624" s="390">
        <v>68864.7</v>
      </c>
      <c r="E624" s="387">
        <v>68864.7</v>
      </c>
      <c r="F624" s="387">
        <f t="shared" ref="F624" si="753">E624-E623</f>
        <v>-952.15000000000873</v>
      </c>
      <c r="G624" s="388">
        <f t="shared" ref="G624" si="754">(E624/E623)-1</f>
        <v>-1.3637825252786562E-2</v>
      </c>
      <c r="H624" s="387">
        <f t="shared" ref="H624" si="755">E624-$D$3</f>
        <v>46008.85</v>
      </c>
      <c r="I624" s="388">
        <f t="shared" ref="I624" si="756">(E624/$D$3)-1</f>
        <v>2.0130010478717701</v>
      </c>
      <c r="L624" s="369">
        <v>2102.31</v>
      </c>
      <c r="M624" s="394">
        <f t="shared" ref="M624" si="757">L624/L623-1</f>
        <v>-8.9240255699495341E-3</v>
      </c>
      <c r="N624" s="394">
        <f t="shared" ref="N624" si="758">(L624/$L$3)-1</f>
        <v>1.2603539480474795</v>
      </c>
      <c r="O624" s="395" t="str">
        <f t="shared" ref="O624" si="759">IF(G624&gt;M624,"Yes","No")</f>
        <v>No</v>
      </c>
      <c r="P624" s="396">
        <f t="shared" ref="P624" si="760">IF(O624="Yes",1,0)</f>
        <v>0</v>
      </c>
      <c r="Q624" s="394">
        <f>SUM($P$4:P624)/COUNT($P$4:P624)</f>
        <v>0.53945249597423506</v>
      </c>
      <c r="S624" s="369">
        <v>17890.36</v>
      </c>
      <c r="T624" s="394">
        <f t="shared" ref="T624" si="761">S624/S623-1</f>
        <v>-1.2446566099060252E-2</v>
      </c>
      <c r="U624" s="394">
        <f t="shared" ref="U624" si="762">(S624/$S$3)-1</f>
        <v>1.0844724491650628</v>
      </c>
      <c r="V624" s="395" t="str">
        <f t="shared" ref="V624" si="763">IF(G624&gt;T624,"Yes","No")</f>
        <v>No</v>
      </c>
      <c r="W624" s="396">
        <f t="shared" ref="W624" si="764">IF(V624="Yes",1,0)</f>
        <v>0</v>
      </c>
      <c r="X624" s="394">
        <f>SUM($W$478:W624)/COUNT($W$478:W624)</f>
        <v>0.54421768707482998</v>
      </c>
    </row>
    <row r="625" spans="1:24" x14ac:dyDescent="0.15">
      <c r="A625" s="384">
        <f t="shared" si="620"/>
        <v>623</v>
      </c>
      <c r="B625" s="401">
        <f t="shared" si="667"/>
        <v>42187</v>
      </c>
      <c r="D625" s="390">
        <v>67445.22</v>
      </c>
      <c r="E625" s="387">
        <v>67445.22</v>
      </c>
      <c r="F625" s="387">
        <f t="shared" ref="F625" si="765">E625-E624</f>
        <v>-1419.4799999999959</v>
      </c>
      <c r="G625" s="388">
        <f t="shared" ref="G625" si="766">(E625/E624)-1</f>
        <v>-2.0612592518372885E-2</v>
      </c>
      <c r="H625" s="387">
        <f t="shared" ref="H625" si="767">E625-$D$3</f>
        <v>44589.37</v>
      </c>
      <c r="I625" s="388">
        <f t="shared" ref="I625" si="768">(E625/$D$3)-1</f>
        <v>1.9508952850145587</v>
      </c>
      <c r="L625" s="369">
        <v>2076.7800000000002</v>
      </c>
      <c r="M625" s="394">
        <f t="shared" ref="M625" si="769">L625/L624-1</f>
        <v>-1.2143784693979365E-2</v>
      </c>
      <c r="N625" s="394">
        <f t="shared" ref="N625" si="770">(L625/$L$3)-1</f>
        <v>1.2329046963702046</v>
      </c>
      <c r="O625" s="395" t="str">
        <f t="shared" ref="O625" si="771">IF(G625&gt;M625,"Yes","No")</f>
        <v>No</v>
      </c>
      <c r="P625" s="396">
        <f t="shared" ref="P625" si="772">IF(O625="Yes",1,0)</f>
        <v>0</v>
      </c>
      <c r="Q625" s="394">
        <f>SUM($P$4:P625)/COUNT($P$4:P625)</f>
        <v>0.53858520900321538</v>
      </c>
      <c r="S625" s="369">
        <v>17730.11</v>
      </c>
      <c r="T625" s="394">
        <f t="shared" ref="T625" si="773">S625/S624-1</f>
        <v>-8.9573379182978918E-3</v>
      </c>
      <c r="U625" s="394">
        <f t="shared" ref="U625" si="774">(S625/$S$3)-1</f>
        <v>1.0658011250565091</v>
      </c>
      <c r="V625" s="395" t="str">
        <f t="shared" ref="V625" si="775">IF(G625&gt;T625,"Yes","No")</f>
        <v>No</v>
      </c>
      <c r="W625" s="396">
        <f t="shared" ref="W625" si="776">IF(V625="Yes",1,0)</f>
        <v>0</v>
      </c>
      <c r="X625" s="394">
        <f>SUM($W$478:W625)/COUNT($W$478:W625)</f>
        <v>0.54054054054054057</v>
      </c>
    </row>
    <row r="626" spans="1:24" x14ac:dyDescent="0.15">
      <c r="A626" s="384">
        <f t="shared" si="620"/>
        <v>624</v>
      </c>
      <c r="B626" s="401">
        <f t="shared" si="667"/>
        <v>42194</v>
      </c>
      <c r="D626" s="390">
        <v>66865.009999999995</v>
      </c>
      <c r="E626" s="387">
        <v>66865.009999999995</v>
      </c>
      <c r="F626" s="387">
        <f t="shared" ref="F626" si="777">E626-E625</f>
        <v>-580.2100000000064</v>
      </c>
      <c r="G626" s="388">
        <f t="shared" ref="G626" si="778">(E626/E625)-1</f>
        <v>-8.6026852607198334E-3</v>
      </c>
      <c r="H626" s="387">
        <f t="shared" ref="H626" si="779">E626-$D$3</f>
        <v>44009.159999999996</v>
      </c>
      <c r="I626" s="388">
        <f t="shared" ref="I626" si="780">(E626/$D$3)-1</f>
        <v>1.9255096616402363</v>
      </c>
      <c r="L626" s="369">
        <v>2051.31</v>
      </c>
      <c r="M626" s="394">
        <f t="shared" ref="M626" si="781">L626/L625-1</f>
        <v>-1.2264178198942766E-2</v>
      </c>
      <c r="N626" s="394">
        <f t="shared" ref="N626" si="782">(L626/$L$3)-1</f>
        <v>1.2055199552726648</v>
      </c>
      <c r="O626" s="395" t="str">
        <f t="shared" ref="O626" si="783">IF(G626&gt;M626,"Yes","No")</f>
        <v>Yes</v>
      </c>
      <c r="P626" s="396">
        <f t="shared" ref="P626" si="784">IF(O626="Yes",1,0)</f>
        <v>1</v>
      </c>
      <c r="Q626" s="394">
        <f>SUM($P$4:P626)/COUNT($P$4:P626)</f>
        <v>0.5393258426966292</v>
      </c>
      <c r="S626" s="369">
        <v>17548.62</v>
      </c>
      <c r="T626" s="394">
        <f t="shared" ref="T626" si="785">S626/S625-1</f>
        <v>-1.0236259109503654E-2</v>
      </c>
      <c r="U626" s="394">
        <f t="shared" ref="U626" si="786">(S626/$S$3)-1</f>
        <v>1.0446550494717264</v>
      </c>
      <c r="V626" s="395" t="str">
        <f t="shared" ref="V626" si="787">IF(G626&gt;T626,"Yes","No")</f>
        <v>Yes</v>
      </c>
      <c r="W626" s="396">
        <f t="shared" ref="W626" si="788">IF(V626="Yes",1,0)</f>
        <v>1</v>
      </c>
      <c r="X626" s="394">
        <f>SUM($W$478:W626)/COUNT($W$478:W626)</f>
        <v>0.5436241610738255</v>
      </c>
    </row>
    <row r="627" spans="1:24" x14ac:dyDescent="0.15">
      <c r="A627" s="384">
        <f t="shared" si="620"/>
        <v>625</v>
      </c>
      <c r="B627" s="401">
        <f t="shared" si="667"/>
        <v>42201</v>
      </c>
      <c r="D627" s="390">
        <v>68671.009999999995</v>
      </c>
      <c r="E627" s="387">
        <v>68671.009999999995</v>
      </c>
      <c r="F627" s="387">
        <f t="shared" ref="F627" si="789">E627-E626</f>
        <v>1806</v>
      </c>
      <c r="G627" s="388">
        <f t="shared" ref="G627" si="790">(E627/E626)-1</f>
        <v>2.7009642262821876E-2</v>
      </c>
      <c r="H627" s="387">
        <f t="shared" ref="H627" si="791">E627-$D$3</f>
        <v>45815.159999999996</v>
      </c>
      <c r="I627" s="388">
        <f t="shared" ref="I627" si="792">(E627/$D$3)-1</f>
        <v>2.0045266310375682</v>
      </c>
      <c r="L627" s="369">
        <v>2124.29</v>
      </c>
      <c r="M627" s="394">
        <f t="shared" ref="M627" si="793">L627/L626-1</f>
        <v>3.5577265259760793E-2</v>
      </c>
      <c r="N627" s="394">
        <f t="shared" ref="N627" si="794">(L627/$L$3)-1</f>
        <v>1.2839863237570959</v>
      </c>
      <c r="O627" s="395" t="str">
        <f t="shared" ref="O627" si="795">IF(G627&gt;M627,"Yes","No")</f>
        <v>No</v>
      </c>
      <c r="P627" s="396">
        <f t="shared" ref="P627" si="796">IF(O627="Yes",1,0)</f>
        <v>0</v>
      </c>
      <c r="Q627" s="394">
        <f>SUM($P$4:P627)/COUNT($P$4:P627)</f>
        <v>0.53846153846153844</v>
      </c>
      <c r="S627" s="369">
        <v>18120.25</v>
      </c>
      <c r="T627" s="394">
        <f t="shared" ref="T627" si="797">S627/S626-1</f>
        <v>3.2574071351479494E-2</v>
      </c>
      <c r="U627" s="394">
        <f t="shared" ref="U627" si="798">(S627/$S$3)-1</f>
        <v>1.1112577889423814</v>
      </c>
      <c r="V627" s="395" t="str">
        <f t="shared" ref="V627" si="799">IF(G627&gt;T627,"Yes","No")</f>
        <v>No</v>
      </c>
      <c r="W627" s="396">
        <f t="shared" ref="W627" si="800">IF(V627="Yes",1,0)</f>
        <v>0</v>
      </c>
      <c r="X627" s="394">
        <f>SUM($W$478:W627)/COUNT($W$478:W627)</f>
        <v>0.54</v>
      </c>
    </row>
    <row r="628" spans="1:24" x14ac:dyDescent="0.15">
      <c r="A628" s="384">
        <f t="shared" si="620"/>
        <v>626</v>
      </c>
      <c r="B628" s="401">
        <f t="shared" si="667"/>
        <v>42208</v>
      </c>
      <c r="D628" s="390">
        <v>68261.919999999998</v>
      </c>
      <c r="E628" s="387">
        <v>68261.919999999998</v>
      </c>
      <c r="F628" s="387">
        <f t="shared" ref="F628" si="801">E628-E627</f>
        <v>-409.08999999999651</v>
      </c>
      <c r="G628" s="388">
        <f t="shared" ref="G628" si="802">(E628/E627)-1</f>
        <v>-5.9572445490462256E-3</v>
      </c>
      <c r="H628" s="387">
        <f t="shared" ref="H628" si="803">E628-$D$3</f>
        <v>45406.07</v>
      </c>
      <c r="I628" s="388">
        <f t="shared" ref="I628" si="804">(E628/$D$3)-1</f>
        <v>1.9866279311423551</v>
      </c>
      <c r="L628" s="369">
        <v>2102.15</v>
      </c>
      <c r="M628" s="394">
        <f t="shared" ref="M628" si="805">L628/L627-1</f>
        <v>-1.0422305805704468E-2</v>
      </c>
      <c r="N628" s="394">
        <f t="shared" ref="N628" si="806">(L628/$L$3)-1</f>
        <v>1.2601819198348529</v>
      </c>
      <c r="O628" s="395" t="str">
        <f t="shared" ref="O628" si="807">IF(G628&gt;M628,"Yes","No")</f>
        <v>Yes</v>
      </c>
      <c r="P628" s="396">
        <f t="shared" ref="P628" si="808">IF(O628="Yes",1,0)</f>
        <v>1</v>
      </c>
      <c r="Q628" s="394">
        <f>SUM($P$4:P628)/COUNT($P$4:P628)</f>
        <v>0.53920000000000001</v>
      </c>
      <c r="S628" s="369">
        <v>17731.919999999998</v>
      </c>
      <c r="T628" s="394">
        <f t="shared" ref="T628" si="809">S628/S627-1</f>
        <v>-2.1430719774837681E-2</v>
      </c>
      <c r="U628" s="394">
        <f t="shared" ref="U628" si="810">(S628/$S$3)-1</f>
        <v>1.0660120148951142</v>
      </c>
      <c r="V628" s="395" t="str">
        <f t="shared" ref="V628" si="811">IF(G628&gt;T628,"Yes","No")</f>
        <v>Yes</v>
      </c>
      <c r="W628" s="396">
        <f t="shared" ref="W628" si="812">IF(V628="Yes",1,0)</f>
        <v>1</v>
      </c>
      <c r="X628" s="394">
        <f>SUM($W$478:W628)/COUNT($W$478:W628)</f>
        <v>0.54304635761589404</v>
      </c>
    </row>
    <row r="629" spans="1:24" x14ac:dyDescent="0.15">
      <c r="A629" s="384">
        <f t="shared" si="620"/>
        <v>627</v>
      </c>
      <c r="B629" s="401">
        <f t="shared" si="667"/>
        <v>42215</v>
      </c>
      <c r="D629" s="390">
        <v>68247.66</v>
      </c>
      <c r="E629" s="387">
        <v>68247.66</v>
      </c>
      <c r="F629" s="387">
        <f t="shared" ref="F629" si="813">E629-E628</f>
        <v>-14.259999999994761</v>
      </c>
      <c r="G629" s="388">
        <f t="shared" ref="G629" si="814">(E629/E628)-1</f>
        <v>-2.089012439145943E-4</v>
      </c>
      <c r="H629" s="387">
        <f t="shared" ref="H629" si="815">E629-$D$3</f>
        <v>45391.810000000005</v>
      </c>
      <c r="I629" s="388">
        <f t="shared" ref="I629" si="816">(E629/$D$3)-1</f>
        <v>1.9860040208524299</v>
      </c>
      <c r="L629" s="369">
        <v>2108.63</v>
      </c>
      <c r="M629" s="394">
        <f t="shared" ref="M629" si="817">L629/L628-1</f>
        <v>3.0825583331350881E-3</v>
      </c>
      <c r="N629" s="394">
        <f t="shared" ref="N629" si="818">(L629/$L$3)-1</f>
        <v>1.2671490624462414</v>
      </c>
      <c r="O629" s="395" t="str">
        <f t="shared" ref="O629" si="819">IF(G629&gt;M629,"Yes","No")</f>
        <v>No</v>
      </c>
      <c r="P629" s="396">
        <f t="shared" ref="P629" si="820">IF(O629="Yes",1,0)</f>
        <v>0</v>
      </c>
      <c r="Q629" s="394">
        <f>SUM($P$4:P629)/COUNT($P$4:P629)</f>
        <v>0.53833865814696491</v>
      </c>
      <c r="S629" s="369">
        <v>17745.98</v>
      </c>
      <c r="T629" s="394">
        <f t="shared" ref="T629" si="821">S629/S628-1</f>
        <v>7.9292033801192652E-4</v>
      </c>
      <c r="U629" s="394">
        <f t="shared" ref="U629" si="822">(S629/$S$3)-1</f>
        <v>1.0676501978403015</v>
      </c>
      <c r="V629" s="395" t="str">
        <f t="shared" ref="V629" si="823">IF(G629&gt;T629,"Yes","No")</f>
        <v>No</v>
      </c>
      <c r="W629" s="396">
        <f t="shared" ref="W629" si="824">IF(V629="Yes",1,0)</f>
        <v>0</v>
      </c>
      <c r="X629" s="394">
        <f>SUM($W$478:W629)/COUNT($W$478:W629)</f>
        <v>0.53947368421052633</v>
      </c>
    </row>
    <row r="630" spans="1:24" x14ac:dyDescent="0.15">
      <c r="A630" s="384">
        <f t="shared" si="620"/>
        <v>628</v>
      </c>
      <c r="B630" s="401">
        <f t="shared" si="667"/>
        <v>42222</v>
      </c>
      <c r="D630" s="390">
        <v>68402.14</v>
      </c>
      <c r="E630" s="387">
        <v>68402.14</v>
      </c>
      <c r="F630" s="387">
        <f t="shared" ref="F630" si="825">E630-E629</f>
        <v>154.47999999999593</v>
      </c>
      <c r="G630" s="388">
        <f t="shared" ref="G630" si="826">(E630/E629)-1</f>
        <v>2.2635208298715792E-3</v>
      </c>
      <c r="H630" s="387">
        <f t="shared" ref="H630" si="827">E630-$D$3</f>
        <v>45546.29</v>
      </c>
      <c r="I630" s="388">
        <f t="shared" ref="I630" si="828">(E630/$D$3)-1</f>
        <v>1.9927629031517098</v>
      </c>
      <c r="L630" s="369">
        <v>2083.56</v>
      </c>
      <c r="M630" s="394">
        <f t="shared" ref="M630" si="829">L630/L629-1</f>
        <v>-1.1889236139104642E-2</v>
      </c>
      <c r="N630" s="394">
        <f t="shared" ref="N630" si="830">(L630/$L$3)-1</f>
        <v>1.240194391880268</v>
      </c>
      <c r="O630" s="395" t="str">
        <f t="shared" ref="O630" si="831">IF(G630&gt;M630,"Yes","No")</f>
        <v>Yes</v>
      </c>
      <c r="P630" s="396">
        <f t="shared" ref="P630" si="832">IF(O630="Yes",1,0)</f>
        <v>1</v>
      </c>
      <c r="Q630" s="394">
        <f>SUM($P$4:P630)/COUNT($P$4:P630)</f>
        <v>0.53907496012759171</v>
      </c>
      <c r="S630" s="369">
        <v>17419.75</v>
      </c>
      <c r="T630" s="394">
        <f t="shared" ref="T630" si="833">S630/S629-1</f>
        <v>-1.83833183628066E-2</v>
      </c>
      <c r="U630" s="394">
        <f t="shared" ref="U630" si="834">(S630/$S$3)-1</f>
        <v>1.0296399259904829</v>
      </c>
      <c r="V630" s="395" t="str">
        <f t="shared" ref="V630" si="835">IF(G630&gt;T630,"Yes","No")</f>
        <v>Yes</v>
      </c>
      <c r="W630" s="396">
        <f t="shared" ref="W630" si="836">IF(V630="Yes",1,0)</f>
        <v>1</v>
      </c>
      <c r="X630" s="394">
        <f>SUM($W$478:W630)/COUNT($W$478:W630)</f>
        <v>0.54248366013071891</v>
      </c>
    </row>
    <row r="631" spans="1:24" x14ac:dyDescent="0.15">
      <c r="A631" s="384">
        <f t="shared" si="620"/>
        <v>629</v>
      </c>
      <c r="B631" s="401">
        <f t="shared" si="667"/>
        <v>42229</v>
      </c>
      <c r="D631" s="390">
        <v>68351.520000000004</v>
      </c>
      <c r="E631" s="387">
        <v>68351.520000000004</v>
      </c>
      <c r="F631" s="387">
        <f t="shared" ref="F631" si="837">E631-E630</f>
        <v>-50.619999999995343</v>
      </c>
      <c r="G631" s="388">
        <f t="shared" ref="G631" si="838">(E631/E630)-1</f>
        <v>-7.4003532638011738E-4</v>
      </c>
      <c r="H631" s="387">
        <f t="shared" ref="H631" si="839">E631-$D$3</f>
        <v>45495.670000000006</v>
      </c>
      <c r="I631" s="388">
        <f t="shared" ref="I631" si="840">(E631/$D$3)-1</f>
        <v>1.9905481528798976</v>
      </c>
      <c r="L631" s="369">
        <v>2083.39</v>
      </c>
      <c r="M631" s="394">
        <f t="shared" ref="M631" si="841">L631/L630-1</f>
        <v>-8.1591122885860123E-5</v>
      </c>
      <c r="N631" s="394">
        <f t="shared" ref="N631" si="842">(L631/$L$3)-1</f>
        <v>1.2400116119043521</v>
      </c>
      <c r="O631" s="395" t="str">
        <f t="shared" ref="O631" si="843">IF(G631&gt;M631,"Yes","No")</f>
        <v>No</v>
      </c>
      <c r="P631" s="396">
        <f t="shared" ref="P631" si="844">IF(O631="Yes",1,0)</f>
        <v>0</v>
      </c>
      <c r="Q631" s="394">
        <f>SUM($P$4:P631)/COUNT($P$4:P631)</f>
        <v>0.53821656050955413</v>
      </c>
      <c r="S631" s="369">
        <v>17408.25</v>
      </c>
      <c r="T631" s="394">
        <f t="shared" ref="T631" si="845">S631/S630-1</f>
        <v>-6.6017020910169588E-4</v>
      </c>
      <c r="U631" s="394">
        <f t="shared" ref="U631" si="846">(S631/$S$3)-1</f>
        <v>1.0283000181761408</v>
      </c>
      <c r="V631" s="395" t="str">
        <f t="shared" ref="V631" si="847">IF(G631&gt;T631,"Yes","No")</f>
        <v>No</v>
      </c>
      <c r="W631" s="396">
        <f t="shared" ref="W631" si="848">IF(V631="Yes",1,0)</f>
        <v>0</v>
      </c>
      <c r="X631" s="394">
        <f>SUM($W$478:W631)/COUNT($W$478:W631)</f>
        <v>0.53896103896103897</v>
      </c>
    </row>
    <row r="632" spans="1:24" x14ac:dyDescent="0.15">
      <c r="A632" s="384">
        <f t="shared" si="620"/>
        <v>630</v>
      </c>
      <c r="B632" s="401">
        <f t="shared" si="667"/>
        <v>42236</v>
      </c>
      <c r="D632" s="390">
        <v>65930.006580000001</v>
      </c>
      <c r="E632" s="387">
        <v>65930.006580000001</v>
      </c>
      <c r="F632" s="387">
        <f t="shared" ref="F632" si="849">E632-E631</f>
        <v>-2421.513420000003</v>
      </c>
      <c r="G632" s="388">
        <f t="shared" ref="G632" si="850">(E632/E631)-1</f>
        <v>-3.5427352895736619E-2</v>
      </c>
      <c r="H632" s="387">
        <f t="shared" ref="H632" si="851">E632-$D$3</f>
        <v>43074.156580000003</v>
      </c>
      <c r="I632" s="388">
        <f t="shared" ref="I632" si="852">(E632/$D$3)-1</f>
        <v>1.8846009481161281</v>
      </c>
      <c r="L632" s="369">
        <v>2035.73</v>
      </c>
      <c r="M632" s="394">
        <f t="shared" ref="M632" si="853">L632/L631-1</f>
        <v>-2.2876177767964689E-2</v>
      </c>
      <c r="N632" s="394">
        <f t="shared" ref="N632" si="854">(L632/$L$3)-1</f>
        <v>1.1887687080681233</v>
      </c>
      <c r="O632" s="395" t="str">
        <f t="shared" ref="O632" si="855">IF(G632&gt;M632,"Yes","No")</f>
        <v>No</v>
      </c>
      <c r="P632" s="396">
        <f t="shared" ref="P632" si="856">IF(O632="Yes",1,0)</f>
        <v>0</v>
      </c>
      <c r="Q632" s="394">
        <f>SUM($P$4:P632)/COUNT($P$4:P632)</f>
        <v>0.5373608903020668</v>
      </c>
      <c r="S632" s="369">
        <v>16990.689999999999</v>
      </c>
      <c r="T632" s="394">
        <f t="shared" ref="T632" si="857">S632/S631-1</f>
        <v>-2.3986328321341954E-2</v>
      </c>
      <c r="U632" s="394">
        <f t="shared" ref="U632" si="858">(S632/$S$3)-1</f>
        <v>0.979648548005984</v>
      </c>
      <c r="V632" s="395" t="str">
        <f t="shared" ref="V632" si="859">IF(G632&gt;T632,"Yes","No")</f>
        <v>No</v>
      </c>
      <c r="W632" s="396">
        <f t="shared" ref="W632" si="860">IF(V632="Yes",1,0)</f>
        <v>0</v>
      </c>
      <c r="X632" s="394">
        <f>SUM($W$478:W632)/COUNT($W$478:W632)</f>
        <v>0.53548387096774197</v>
      </c>
    </row>
    <row r="633" spans="1:24" x14ac:dyDescent="0.15">
      <c r="A633" s="384">
        <f t="shared" si="620"/>
        <v>631</v>
      </c>
      <c r="B633" s="401">
        <f t="shared" si="667"/>
        <v>42243</v>
      </c>
      <c r="D633" s="390">
        <v>66074.12</v>
      </c>
      <c r="E633" s="387">
        <v>66074.12</v>
      </c>
      <c r="F633" s="387">
        <f t="shared" ref="F633" si="861">E633-E632</f>
        <v>144.11341999999422</v>
      </c>
      <c r="G633" s="388">
        <f t="shared" ref="G633" si="862">(E633/E632)-1</f>
        <v>2.1858547795703398E-3</v>
      </c>
      <c r="H633" s="387">
        <f t="shared" ref="H633" si="863">E633-$D$3</f>
        <v>43218.27</v>
      </c>
      <c r="I633" s="388">
        <f t="shared" ref="I633" si="864">(E633/$D$3)-1</f>
        <v>1.8909062668857208</v>
      </c>
      <c r="L633" s="369">
        <v>1987.66</v>
      </c>
      <c r="M633" s="394">
        <f t="shared" ref="M633" si="865">L633/L632-1</f>
        <v>-2.3613151056377735E-2</v>
      </c>
      <c r="N633" s="394">
        <f t="shared" ref="N633" si="866">(L633/$L$3)-1</f>
        <v>1.1370849819370377</v>
      </c>
      <c r="O633" s="395" t="str">
        <f t="shared" ref="O633" si="867">IF(G633&gt;M633,"Yes","No")</f>
        <v>Yes</v>
      </c>
      <c r="P633" s="396">
        <f t="shared" ref="P633" si="868">IF(O633="Yes",1,0)</f>
        <v>1</v>
      </c>
      <c r="Q633" s="394">
        <f>SUM($P$4:P633)/COUNT($P$4:P633)</f>
        <v>0.53809523809523807</v>
      </c>
      <c r="S633" s="369">
        <v>16654.77</v>
      </c>
      <c r="T633" s="394">
        <f t="shared" ref="T633" si="869">S633/S632-1</f>
        <v>-1.9770827435495408E-2</v>
      </c>
      <c r="U633" s="394">
        <f t="shared" ref="U633" si="870">(S633/$S$3)-1</f>
        <v>0.94050925818042841</v>
      </c>
      <c r="V633" s="395" t="str">
        <f t="shared" ref="V633" si="871">IF(G633&gt;T633,"Yes","No")</f>
        <v>Yes</v>
      </c>
      <c r="W633" s="396">
        <f t="shared" ref="W633" si="872">IF(V633="Yes",1,0)</f>
        <v>1</v>
      </c>
      <c r="X633" s="394">
        <f>SUM($W$478:W633)/COUNT($W$478:W633)</f>
        <v>0.53846153846153844</v>
      </c>
    </row>
    <row r="634" spans="1:24" x14ac:dyDescent="0.15">
      <c r="A634" s="384">
        <f t="shared" si="620"/>
        <v>632</v>
      </c>
      <c r="B634" s="401">
        <f t="shared" si="667"/>
        <v>42250</v>
      </c>
      <c r="D634" s="390">
        <v>65312.24</v>
      </c>
      <c r="E634" s="387">
        <v>65312.24</v>
      </c>
      <c r="F634" s="387">
        <f t="shared" ref="F634" si="873">E634-E633</f>
        <v>-761.87999999999738</v>
      </c>
      <c r="G634" s="388">
        <f t="shared" ref="G634" si="874">(E634/E633)-1</f>
        <v>-1.153068705266147E-2</v>
      </c>
      <c r="H634" s="387">
        <f t="shared" ref="H634" si="875">E634-$D$3</f>
        <v>42456.39</v>
      </c>
      <c r="I634" s="388">
        <f t="shared" ref="I634" si="876">(E634/$D$3)-1</f>
        <v>1.8575721314236837</v>
      </c>
      <c r="L634" s="369">
        <v>1951.13</v>
      </c>
      <c r="M634" s="394">
        <f t="shared" ref="M634" si="877">L634/L633-1</f>
        <v>-1.8378394695269806E-2</v>
      </c>
      <c r="N634" s="394">
        <f t="shared" ref="N634" si="878">(L634/$L$3)-1</f>
        <v>1.0978087906416651</v>
      </c>
      <c r="O634" s="395" t="str">
        <f t="shared" ref="O634" si="879">IF(G634&gt;M634,"Yes","No")</f>
        <v>Yes</v>
      </c>
      <c r="P634" s="396">
        <f t="shared" ref="P634" si="880">IF(O634="Yes",1,0)</f>
        <v>1</v>
      </c>
      <c r="Q634" s="394">
        <f>SUM($P$4:P634)/COUNT($P$4:P634)</f>
        <v>0.53882725832012679</v>
      </c>
      <c r="S634" s="369">
        <v>16374.76</v>
      </c>
      <c r="T634" s="394">
        <f t="shared" ref="T634" si="881">S634/S633-1</f>
        <v>-1.6812600834475666E-2</v>
      </c>
      <c r="U634" s="394">
        <f t="shared" ref="U634" si="882">(S634/$S$3)-1</f>
        <v>0.90788425060703637</v>
      </c>
      <c r="V634" s="395" t="str">
        <f t="shared" ref="V634" si="883">IF(G634&gt;T634,"Yes","No")</f>
        <v>Yes</v>
      </c>
      <c r="W634" s="396">
        <f t="shared" ref="W634" si="884">IF(V634="Yes",1,0)</f>
        <v>1</v>
      </c>
      <c r="X634" s="394">
        <f>SUM($W$478:W634)/COUNT($W$478:W634)</f>
        <v>0.54140127388535031</v>
      </c>
    </row>
    <row r="635" spans="1:24" x14ac:dyDescent="0.15">
      <c r="A635" s="384">
        <f t="shared" si="620"/>
        <v>633</v>
      </c>
      <c r="B635" s="401">
        <f t="shared" si="667"/>
        <v>42257</v>
      </c>
      <c r="D635" s="390">
        <v>65600.63</v>
      </c>
      <c r="E635" s="387">
        <v>65600.63</v>
      </c>
      <c r="F635" s="387">
        <f t="shared" ref="F635" si="885">E635-E634</f>
        <v>288.39000000000669</v>
      </c>
      <c r="G635" s="388">
        <f t="shared" ref="G635" si="886">(E635/E634)-1</f>
        <v>4.4155582475813304E-3</v>
      </c>
      <c r="H635" s="387">
        <f t="shared" ref="H635" si="887">E635-$D$3</f>
        <v>42744.780000000006</v>
      </c>
      <c r="I635" s="388">
        <f t="shared" ref="I635" si="888">(E635/$D$3)-1</f>
        <v>1.8701899076166502</v>
      </c>
      <c r="L635" s="369">
        <v>1952.29</v>
      </c>
      <c r="M635" s="394">
        <f t="shared" ref="M635" si="889">L635/L634-1</f>
        <v>5.9452727393871641E-4</v>
      </c>
      <c r="N635" s="394">
        <f t="shared" ref="N635" si="890">(L635/$L$3)-1</f>
        <v>1.09905599518321</v>
      </c>
      <c r="O635" s="395" t="str">
        <f t="shared" ref="O635" si="891">IF(G635&gt;M635,"Yes","No")</f>
        <v>Yes</v>
      </c>
      <c r="P635" s="396">
        <f t="shared" ref="P635" si="892">IF(O635="Yes",1,0)</f>
        <v>1</v>
      </c>
      <c r="Q635" s="394">
        <f>SUM($P$4:P635)/COUNT($P$4:P635)</f>
        <v>0.53955696202531644</v>
      </c>
      <c r="S635" s="369">
        <v>16330.4</v>
      </c>
      <c r="T635" s="394">
        <f t="shared" ref="T635" si="893">S635/S634-1</f>
        <v>-2.7090473387091363E-3</v>
      </c>
      <c r="U635" s="394">
        <f t="shared" ref="U635" si="894">(S635/$S$3)-1</f>
        <v>0.90271570185536443</v>
      </c>
      <c r="V635" s="395" t="str">
        <f t="shared" ref="V635" si="895">IF(G635&gt;T635,"Yes","No")</f>
        <v>Yes</v>
      </c>
      <c r="W635" s="396">
        <f t="shared" ref="W635" si="896">IF(V635="Yes",1,0)</f>
        <v>1</v>
      </c>
      <c r="X635" s="394">
        <f>SUM($W$478:W635)/COUNT($W$478:W635)</f>
        <v>0.54430379746835444</v>
      </c>
    </row>
    <row r="636" spans="1:24" x14ac:dyDescent="0.15">
      <c r="A636" s="384">
        <f t="shared" si="620"/>
        <v>634</v>
      </c>
      <c r="B636" s="401">
        <f t="shared" si="667"/>
        <v>42264</v>
      </c>
      <c r="D636" s="390">
        <v>66395.89</v>
      </c>
      <c r="E636" s="387">
        <v>66395.89</v>
      </c>
      <c r="F636" s="387">
        <f t="shared" ref="F636" si="897">E636-E635</f>
        <v>795.25999999999476</v>
      </c>
      <c r="G636" s="388">
        <f t="shared" ref="G636" si="898">(E636/E635)-1</f>
        <v>1.2122749430912405E-2</v>
      </c>
      <c r="H636" s="387">
        <f t="shared" ref="H636" si="899">E636-$D$3</f>
        <v>43540.04</v>
      </c>
      <c r="I636" s="388">
        <f t="shared" ref="I636" si="900">(E636/$D$3)-1</f>
        <v>1.9049845006858201</v>
      </c>
      <c r="L636" s="369">
        <v>1990.2</v>
      </c>
      <c r="M636" s="394">
        <f t="shared" ref="M636" si="901">L636/L635-1</f>
        <v>1.9418221678131786E-2</v>
      </c>
      <c r="N636" s="394">
        <f t="shared" ref="N636" si="902">(L636/$L$3)-1</f>
        <v>1.1398159298124892</v>
      </c>
      <c r="O636" s="395" t="str">
        <f t="shared" ref="O636" si="903">IF(G636&gt;M636,"Yes","No")</f>
        <v>No</v>
      </c>
      <c r="P636" s="396">
        <f t="shared" ref="P636" si="904">IF(O636="Yes",1,0)</f>
        <v>0</v>
      </c>
      <c r="Q636" s="394">
        <f>SUM($P$4:P636)/COUNT($P$4:P636)</f>
        <v>0.53870458135860977</v>
      </c>
      <c r="S636" s="369">
        <v>16674.740000000002</v>
      </c>
      <c r="T636" s="394">
        <f t="shared" ref="T636" si="905">S636/S635-1</f>
        <v>2.1085827658845036E-2</v>
      </c>
      <c r="U636" s="394">
        <f t="shared" ref="U636" si="906">(S636/$S$3)-1</f>
        <v>0.94283603722846498</v>
      </c>
      <c r="V636" s="395" t="str">
        <f t="shared" ref="V636" si="907">IF(G636&gt;T636,"Yes","No")</f>
        <v>No</v>
      </c>
      <c r="W636" s="396">
        <f t="shared" ref="W636" si="908">IF(V636="Yes",1,0)</f>
        <v>0</v>
      </c>
      <c r="X636" s="394">
        <f>SUM($W$478:W636)/COUNT($W$478:W636)</f>
        <v>0.54088050314465408</v>
      </c>
    </row>
    <row r="637" spans="1:24" x14ac:dyDescent="0.15">
      <c r="A637" s="384">
        <f t="shared" si="620"/>
        <v>635</v>
      </c>
      <c r="B637" s="401">
        <f t="shared" si="667"/>
        <v>42271</v>
      </c>
      <c r="D637" s="390">
        <v>64449.74</v>
      </c>
      <c r="E637" s="387">
        <v>64449.74</v>
      </c>
      <c r="F637" s="387">
        <f t="shared" ref="F637" si="909">E637-E636</f>
        <v>-1946.1500000000015</v>
      </c>
      <c r="G637" s="388">
        <f t="shared" ref="G637" si="910">(E637/E636)-1</f>
        <v>-2.931130225078693E-2</v>
      </c>
      <c r="H637" s="387">
        <f t="shared" ref="H637" si="911">E637-$D$3</f>
        <v>41593.89</v>
      </c>
      <c r="I637" s="388">
        <f t="shared" ref="I637" si="912">(E637/$D$3)-1</f>
        <v>1.8198356219523668</v>
      </c>
      <c r="L637" s="369">
        <v>1932.24</v>
      </c>
      <c r="M637" s="394">
        <f t="shared" ref="M637" si="913">L637/L636-1</f>
        <v>-2.9122701236056647E-2</v>
      </c>
      <c r="N637" s="394">
        <f t="shared" ref="N637" si="914">(L637/$L$3)-1</f>
        <v>1.0774987097884052</v>
      </c>
      <c r="O637" s="395" t="str">
        <f t="shared" ref="O637" si="915">IF(G637&gt;M637,"Yes","No")</f>
        <v>No</v>
      </c>
      <c r="P637" s="396">
        <f t="shared" ref="P637" si="916">IF(O637="Yes",1,0)</f>
        <v>0</v>
      </c>
      <c r="Q637" s="394">
        <f>SUM($P$4:P637)/COUNT($P$4:P637)</f>
        <v>0.53785488958990535</v>
      </c>
      <c r="S637" s="369">
        <v>16201.32</v>
      </c>
      <c r="T637" s="394">
        <f t="shared" ref="T637" si="917">S637/S636-1</f>
        <v>-2.8391447182984697E-2</v>
      </c>
      <c r="U637" s="394">
        <f t="shared" ref="U637" si="918">(S637/$S$3)-1</f>
        <v>0.88767611049229367</v>
      </c>
      <c r="V637" s="395" t="str">
        <f t="shared" ref="V637" si="919">IF(G637&gt;T637,"Yes","No")</f>
        <v>No</v>
      </c>
      <c r="W637" s="396">
        <f t="shared" ref="W637" si="920">IF(V637="Yes",1,0)</f>
        <v>0</v>
      </c>
      <c r="X637" s="394">
        <f>SUM($W$478:W637)/COUNT($W$478:W637)</f>
        <v>0.53749999999999998</v>
      </c>
    </row>
    <row r="638" spans="1:24" x14ac:dyDescent="0.15">
      <c r="A638" s="384">
        <f t="shared" si="620"/>
        <v>636</v>
      </c>
      <c r="B638" s="401">
        <f t="shared" si="667"/>
        <v>42278</v>
      </c>
      <c r="D638" s="390">
        <v>64473.3</v>
      </c>
      <c r="E638" s="387">
        <v>64449.74</v>
      </c>
      <c r="F638" s="387">
        <f t="shared" ref="F638" si="921">E638-E637</f>
        <v>0</v>
      </c>
      <c r="G638" s="388">
        <f t="shared" ref="G638" si="922">(E638/E637)-1</f>
        <v>0</v>
      </c>
      <c r="H638" s="387">
        <f t="shared" ref="H638" si="923">E638-$D$3</f>
        <v>41593.89</v>
      </c>
      <c r="I638" s="388">
        <f t="shared" ref="I638" si="924">(E638/$D$3)-1</f>
        <v>1.8198356219523668</v>
      </c>
      <c r="L638" s="369">
        <v>1923.82</v>
      </c>
      <c r="M638" s="394">
        <f t="shared" ref="M638" si="925">L638/L637-1</f>
        <v>-4.3576367324970056E-3</v>
      </c>
      <c r="N638" s="394">
        <f t="shared" ref="N638" si="926">(L638/$L$3)-1</f>
        <v>1.0684457250989161</v>
      </c>
      <c r="O638" s="395" t="str">
        <f t="shared" ref="O638" si="927">IF(G638&gt;M638,"Yes","No")</f>
        <v>Yes</v>
      </c>
      <c r="P638" s="396">
        <f t="shared" ref="P638" si="928">IF(O638="Yes",1,0)</f>
        <v>1</v>
      </c>
      <c r="Q638" s="394">
        <f>SUM($P$4:P638)/COUNT($P$4:P638)</f>
        <v>0.53858267716535435</v>
      </c>
      <c r="S638" s="369">
        <v>16272.01</v>
      </c>
      <c r="T638" s="394">
        <f t="shared" ref="T638" si="929">S638/S637-1</f>
        <v>4.3632247248990286E-3</v>
      </c>
      <c r="U638" s="394">
        <f t="shared" ref="U638" si="930">(S638/$S$3)-1</f>
        <v>0.89591246557019488</v>
      </c>
      <c r="V638" s="395" t="str">
        <f t="shared" ref="V638" si="931">IF(G638&gt;T638,"Yes","No")</f>
        <v>No</v>
      </c>
      <c r="W638" s="396">
        <f t="shared" ref="W638" si="932">IF(V638="Yes",1,0)</f>
        <v>0</v>
      </c>
      <c r="X638" s="394">
        <f>SUM($W$478:W638)/COUNT($W$478:W638)</f>
        <v>0.53416149068322982</v>
      </c>
    </row>
    <row r="639" spans="1:24" x14ac:dyDescent="0.15">
      <c r="A639" s="384">
        <f t="shared" si="620"/>
        <v>637</v>
      </c>
      <c r="B639" s="401">
        <f t="shared" si="667"/>
        <v>42285</v>
      </c>
      <c r="D639" s="390">
        <v>66104.73</v>
      </c>
      <c r="E639" s="387">
        <v>66104.73</v>
      </c>
      <c r="F639" s="387">
        <f t="shared" ref="F639" si="933">E639-E638</f>
        <v>1654.989999999998</v>
      </c>
      <c r="G639" s="388">
        <f t="shared" ref="G639" si="934">(E639/E638)-1</f>
        <v>2.5678769223894449E-2</v>
      </c>
      <c r="H639" s="387">
        <f t="shared" ref="H639" si="935">E639-$D$3</f>
        <v>43248.88</v>
      </c>
      <c r="I639" s="388">
        <f t="shared" ref="I639" si="936">(E639/$D$3)-1</f>
        <v>1.8922455301377985</v>
      </c>
      <c r="L639" s="369">
        <v>2013.43</v>
      </c>
      <c r="M639" s="394">
        <f t="shared" ref="M639" si="937">L639/L638-1</f>
        <v>4.657920179642594E-2</v>
      </c>
      <c r="N639" s="394">
        <f t="shared" ref="N639" si="938">(L639/$L$3)-1</f>
        <v>1.164792275933253</v>
      </c>
      <c r="O639" s="395" t="str">
        <f t="shared" ref="O639" si="939">IF(G639&gt;M639,"Yes","No")</f>
        <v>No</v>
      </c>
      <c r="P639" s="396">
        <f t="shared" ref="P639" si="940">IF(O639="Yes",1,0)</f>
        <v>0</v>
      </c>
      <c r="Q639" s="394">
        <f>SUM($P$4:P639)/COUNT($P$4:P639)</f>
        <v>0.53773584905660377</v>
      </c>
      <c r="S639" s="369">
        <v>17050.75</v>
      </c>
      <c r="T639" s="394">
        <f t="shared" ref="T639" si="941">S639/S638-1</f>
        <v>4.7857640205481777E-2</v>
      </c>
      <c r="U639" s="394">
        <f t="shared" ref="U639" si="942">(S639/$S$3)-1</f>
        <v>0.98664636220854085</v>
      </c>
      <c r="V639" s="395" t="str">
        <f t="shared" ref="V639" si="943">IF(G639&gt;T639,"Yes","No")</f>
        <v>No</v>
      </c>
      <c r="W639" s="396">
        <f t="shared" ref="W639" si="944">IF(V639="Yes",1,0)</f>
        <v>0</v>
      </c>
      <c r="X639" s="394">
        <f>SUM($W$478:W639)/COUNT($W$478:W639)</f>
        <v>0.53086419753086422</v>
      </c>
    </row>
    <row r="640" spans="1:24" x14ac:dyDescent="0.15">
      <c r="A640" s="384">
        <f t="shared" si="620"/>
        <v>638</v>
      </c>
      <c r="B640" s="401">
        <f t="shared" si="667"/>
        <v>42292</v>
      </c>
      <c r="D640" s="390">
        <v>66574.990000000005</v>
      </c>
      <c r="E640" s="387">
        <v>66574.990000000005</v>
      </c>
      <c r="F640" s="387">
        <f t="shared" ref="F640" si="945">E640-E639</f>
        <v>470.26000000000931</v>
      </c>
      <c r="G640" s="388">
        <f t="shared" ref="G640" si="946">(E640/E639)-1</f>
        <v>7.1138631078291326E-3</v>
      </c>
      <c r="H640" s="387">
        <f t="shared" ref="H640" si="947">E640-$D$3</f>
        <v>43719.140000000007</v>
      </c>
      <c r="I640" s="388">
        <f t="shared" ref="I640" si="948">(E640/$D$3)-1</f>
        <v>1.9128205689134297</v>
      </c>
      <c r="L640" s="369">
        <v>2023.86</v>
      </c>
      <c r="M640" s="394">
        <f t="shared" ref="M640" si="949">L640/L639-1</f>
        <v>5.1802148572335227E-3</v>
      </c>
      <c r="N640" s="394">
        <f t="shared" ref="N640" si="950">(L640/$L$3)-1</f>
        <v>1.1760063650438668</v>
      </c>
      <c r="O640" s="395" t="str">
        <f t="shared" ref="O640" si="951">IF(G640&gt;M640,"Yes","No")</f>
        <v>Yes</v>
      </c>
      <c r="P640" s="396">
        <f t="shared" ref="P640" si="952">IF(O640="Yes",1,0)</f>
        <v>1</v>
      </c>
      <c r="Q640" s="394">
        <f>SUM($P$4:P640)/COUNT($P$4:P640)</f>
        <v>0.53846153846153844</v>
      </c>
      <c r="S640" s="369">
        <v>17141.75</v>
      </c>
      <c r="T640" s="394">
        <f t="shared" ref="T640" si="953">S640/S639-1</f>
        <v>5.3370086359838531E-3</v>
      </c>
      <c r="U640" s="394">
        <f t="shared" ref="U640" si="954">(S640/$S$3)-1</f>
        <v>0.99724911100029345</v>
      </c>
      <c r="V640" s="395" t="str">
        <f t="shared" ref="V640" si="955">IF(G640&gt;T640,"Yes","No")</f>
        <v>Yes</v>
      </c>
      <c r="W640" s="396">
        <f t="shared" ref="W640" si="956">IF(V640="Yes",1,0)</f>
        <v>1</v>
      </c>
      <c r="X640" s="394">
        <f>SUM($W$478:W640)/COUNT($W$478:W640)</f>
        <v>0.53374233128834359</v>
      </c>
    </row>
    <row r="641" spans="1:24" x14ac:dyDescent="0.15">
      <c r="A641" s="384">
        <f t="shared" si="620"/>
        <v>639</v>
      </c>
      <c r="B641" s="401">
        <f t="shared" si="667"/>
        <v>42299</v>
      </c>
      <c r="D641" s="390">
        <v>67377.86</v>
      </c>
      <c r="E641" s="387">
        <v>67377.86</v>
      </c>
      <c r="F641" s="387">
        <f t="shared" ref="F641" si="957">E641-E640</f>
        <v>802.86999999999534</v>
      </c>
      <c r="G641" s="388">
        <f t="shared" ref="G641" si="958">(E641/E640)-1</f>
        <v>1.2059633805427517E-2</v>
      </c>
      <c r="H641" s="387">
        <f t="shared" ref="H641" si="959">E641-$D$3</f>
        <v>44522.01</v>
      </c>
      <c r="I641" s="388">
        <f t="shared" ref="I641" si="960">(E641/$D$3)-1</f>
        <v>1.9479481183154426</v>
      </c>
      <c r="L641" s="369">
        <v>2052.5100000000002</v>
      </c>
      <c r="M641" s="394">
        <f t="shared" ref="M641" si="961">L641/L640-1</f>
        <v>1.4156117518010269E-2</v>
      </c>
      <c r="N641" s="394">
        <f t="shared" ref="N641" si="962">(L641/$L$3)-1</f>
        <v>1.2068101668673665</v>
      </c>
      <c r="O641" s="395" t="str">
        <f t="shared" ref="O641" si="963">IF(G641&gt;M641,"Yes","No")</f>
        <v>No</v>
      </c>
      <c r="P641" s="396">
        <f t="shared" ref="P641" si="964">IF(O641="Yes",1,0)</f>
        <v>0</v>
      </c>
      <c r="Q641" s="394">
        <f>SUM($P$4:P641)/COUNT($P$4:P641)</f>
        <v>0.53761755485893414</v>
      </c>
      <c r="S641" s="369">
        <v>17489.16</v>
      </c>
      <c r="T641" s="394">
        <f t="shared" ref="T641" si="965">S641/S640-1</f>
        <v>2.0266892236790346E-2</v>
      </c>
      <c r="U641" s="394">
        <f t="shared" ref="U641" si="966">(S641/$S$3)-1</f>
        <v>1.0377271435029618</v>
      </c>
      <c r="V641" s="395" t="str">
        <f t="shared" ref="V641" si="967">IF(G641&gt;T641,"Yes","No")</f>
        <v>No</v>
      </c>
      <c r="W641" s="396">
        <f t="shared" ref="W641" si="968">IF(V641="Yes",1,0)</f>
        <v>0</v>
      </c>
      <c r="X641" s="394">
        <f>SUM($W$478:W641)/COUNT($W$478:W641)</f>
        <v>0.53048780487804881</v>
      </c>
    </row>
    <row r="642" spans="1:24" x14ac:dyDescent="0.15">
      <c r="A642" s="384">
        <f t="shared" si="620"/>
        <v>640</v>
      </c>
      <c r="B642" s="401">
        <f t="shared" si="667"/>
        <v>42306</v>
      </c>
      <c r="D642" s="390">
        <v>67077.55</v>
      </c>
      <c r="E642" s="387">
        <v>67077.55</v>
      </c>
      <c r="F642" s="387">
        <f t="shared" ref="F642" si="969">E642-E641</f>
        <v>-300.30999999999767</v>
      </c>
      <c r="G642" s="388">
        <f t="shared" ref="G642" si="970">(E642/E641)-1</f>
        <v>-4.457102080713149E-3</v>
      </c>
      <c r="H642" s="387">
        <f t="shared" ref="H642" si="971">E642-$D$3</f>
        <v>44221.700000000004</v>
      </c>
      <c r="I642" s="388">
        <f t="shared" ref="I642" si="972">(E642/$D$3)-1</f>
        <v>1.9348088126234644</v>
      </c>
      <c r="L642" s="369">
        <v>2089.41</v>
      </c>
      <c r="M642" s="394">
        <f t="shared" ref="M642" si="973">L642/L641-1</f>
        <v>1.7977987926977024E-2</v>
      </c>
      <c r="N642" s="394">
        <f t="shared" ref="N642" si="974">(L642/$L$3)-1</f>
        <v>1.2464841734044381</v>
      </c>
      <c r="O642" s="395" t="str">
        <f t="shared" ref="O642" si="975">IF(G642&gt;M642,"Yes","No")</f>
        <v>No</v>
      </c>
      <c r="P642" s="396">
        <f t="shared" ref="P642" si="976">IF(O642="Yes",1,0)</f>
        <v>0</v>
      </c>
      <c r="Q642" s="394">
        <f>SUM($P$4:P642)/COUNT($P$4:P642)</f>
        <v>0.53677621283255084</v>
      </c>
      <c r="S642" s="369">
        <v>17755.8</v>
      </c>
      <c r="T642" s="394">
        <f t="shared" ref="T642" si="977">S642/S641-1</f>
        <v>1.524601524601521E-2</v>
      </c>
      <c r="U642" s="394">
        <f t="shared" ref="U642" si="978">(S642/$S$3)-1</f>
        <v>1.0687943626000269</v>
      </c>
      <c r="V642" s="395" t="str">
        <f t="shared" ref="V642" si="979">IF(G642&gt;T642,"Yes","No")</f>
        <v>No</v>
      </c>
      <c r="W642" s="396">
        <f t="shared" ref="W642" si="980">IF(V642="Yes",1,0)</f>
        <v>0</v>
      </c>
      <c r="X642" s="394">
        <f>SUM($W$478:W642)/COUNT($W$478:W642)</f>
        <v>0.52727272727272723</v>
      </c>
    </row>
    <row r="643" spans="1:24" x14ac:dyDescent="0.15">
      <c r="A643" s="384">
        <f t="shared" si="620"/>
        <v>641</v>
      </c>
      <c r="B643" s="401">
        <f t="shared" si="667"/>
        <v>42313</v>
      </c>
      <c r="D643" s="390">
        <v>67547.092850000001</v>
      </c>
      <c r="E643" s="387">
        <v>67547.092850000001</v>
      </c>
      <c r="F643" s="387">
        <f t="shared" ref="F643" si="981">E643-E642</f>
        <v>469.542849999998</v>
      </c>
      <c r="G643" s="388">
        <f t="shared" ref="G643" si="982">(E643/E642)-1</f>
        <v>6.9999999999998952E-3</v>
      </c>
      <c r="H643" s="387">
        <f t="shared" ref="H643" si="983">E643-$D$3</f>
        <v>44691.242850000002</v>
      </c>
      <c r="I643" s="388">
        <f t="shared" ref="I643" si="984">(E643/$D$3)-1</f>
        <v>1.9553524743118285</v>
      </c>
      <c r="L643" s="369">
        <v>2099.9299999999998</v>
      </c>
      <c r="M643" s="394">
        <f t="shared" ref="M643" si="985">L643/L642-1</f>
        <v>5.034914162371118E-3</v>
      </c>
      <c r="N643" s="394">
        <f t="shared" ref="N643" si="986">(L643/$L$3)-1</f>
        <v>1.2577950283846548</v>
      </c>
      <c r="O643" s="395" t="str">
        <f t="shared" ref="O643" si="987">IF(G643&gt;M643,"Yes","No")</f>
        <v>Yes</v>
      </c>
      <c r="P643" s="396">
        <f t="shared" ref="P643" si="988">IF(O643="Yes",1,0)</f>
        <v>1</v>
      </c>
      <c r="Q643" s="394">
        <f>SUM($P$4:P643)/COUNT($P$4:P643)</f>
        <v>0.53749999999999998</v>
      </c>
      <c r="S643" s="369">
        <v>17863.43</v>
      </c>
      <c r="T643" s="394">
        <f t="shared" ref="T643" si="989">S643/S642-1</f>
        <v>6.0616812534495246E-3</v>
      </c>
      <c r="U643" s="394">
        <f t="shared" ref="U643" si="990">(S643/$S$3)-1</f>
        <v>1.0813347346050417</v>
      </c>
      <c r="V643" s="395" t="str">
        <f t="shared" ref="V643" si="991">IF(G643&gt;T643,"Yes","No")</f>
        <v>Yes</v>
      </c>
      <c r="W643" s="396">
        <f t="shared" ref="W643" si="992">IF(V643="Yes",1,0)</f>
        <v>1</v>
      </c>
      <c r="X643" s="394">
        <f>SUM($W$478:W643)/COUNT($W$478:W643)</f>
        <v>0.53012048192771088</v>
      </c>
    </row>
    <row r="644" spans="1:24" x14ac:dyDescent="0.15">
      <c r="A644" s="384">
        <f t="shared" si="620"/>
        <v>642</v>
      </c>
      <c r="B644" s="401">
        <f t="shared" si="667"/>
        <v>42320</v>
      </c>
      <c r="D644" s="390">
        <v>66711.740000000005</v>
      </c>
      <c r="E644" s="387">
        <v>66711.740000000005</v>
      </c>
      <c r="F644" s="387">
        <f t="shared" ref="F644" si="993">E644-E643</f>
        <v>-835.35284999999567</v>
      </c>
      <c r="G644" s="388">
        <f t="shared" ref="G644" si="994">(E644/E643)-1</f>
        <v>-1.2366969691131491E-2</v>
      </c>
      <c r="H644" s="387">
        <f t="shared" ref="H644" si="995">E644-$D$3</f>
        <v>43855.890000000007</v>
      </c>
      <c r="I644" s="388">
        <f t="shared" ref="I644" si="996">(E644/$D$3)-1</f>
        <v>1.9188037198354038</v>
      </c>
      <c r="L644" s="369">
        <v>2045.97</v>
      </c>
      <c r="M644" s="394">
        <f t="shared" ref="M644" si="997">L644/L643-1</f>
        <v>-2.569609463172573E-2</v>
      </c>
      <c r="N644" s="394">
        <f t="shared" ref="N644" si="998">(L644/$L$3)-1</f>
        <v>1.1997785136762427</v>
      </c>
      <c r="O644" s="395" t="str">
        <f t="shared" ref="O644" si="999">IF(G644&gt;M644,"Yes","No")</f>
        <v>Yes</v>
      </c>
      <c r="P644" s="396">
        <f t="shared" ref="P644" si="1000">IF(O644="Yes",1,0)</f>
        <v>1</v>
      </c>
      <c r="Q644" s="394">
        <f>SUM($P$4:P644)/COUNT($P$4:P644)</f>
        <v>0.53822152886115449</v>
      </c>
      <c r="S644" s="369">
        <v>17448.07</v>
      </c>
      <c r="T644" s="394">
        <f t="shared" ref="T644" si="1001">S644/S643-1</f>
        <v>-2.3251973445189478E-2</v>
      </c>
      <c r="U644" s="394">
        <f t="shared" ref="U644" si="1002">(S644/$S$3)-1</f>
        <v>1.0329395946254549</v>
      </c>
      <c r="V644" s="395" t="str">
        <f t="shared" ref="V644" si="1003">IF(G644&gt;T644,"Yes","No")</f>
        <v>Yes</v>
      </c>
      <c r="W644" s="396">
        <f t="shared" ref="W644" si="1004">IF(V644="Yes",1,0)</f>
        <v>1</v>
      </c>
      <c r="X644" s="394">
        <f>SUM($W$478:W644)/COUNT($W$478:W644)</f>
        <v>0.53293413173652693</v>
      </c>
    </row>
    <row r="645" spans="1:24" x14ac:dyDescent="0.15">
      <c r="A645" s="384">
        <f t="shared" ref="A645:A708" si="1005">A644+1</f>
        <v>643</v>
      </c>
      <c r="B645" s="401">
        <f t="shared" si="667"/>
        <v>42327</v>
      </c>
      <c r="D645" s="390">
        <v>67614.460000000006</v>
      </c>
      <c r="E645" s="387">
        <v>67614.460000000006</v>
      </c>
      <c r="F645" s="387">
        <f t="shared" ref="F645" si="1006">E645-E644</f>
        <v>902.72000000000116</v>
      </c>
      <c r="G645" s="388">
        <f t="shared" ref="G645" si="1007">(E645/E644)-1</f>
        <v>1.3531651250589416E-2</v>
      </c>
      <c r="H645" s="387">
        <f t="shared" ref="H645" si="1008">E645-$D$3</f>
        <v>44758.610000000008</v>
      </c>
      <c r="I645" s="388">
        <f t="shared" ref="I645" si="1009">(E645/$D$3)-1</f>
        <v>1.9582999538411396</v>
      </c>
      <c r="L645" s="369">
        <v>2081.2399999999998</v>
      </c>
      <c r="M645" s="394">
        <f t="shared" ref="M645" si="1010">L645/L644-1</f>
        <v>1.7238766941841677E-2</v>
      </c>
      <c r="N645" s="394">
        <f t="shared" ref="N645" si="1011">(L645/$L$3)-1</f>
        <v>1.2376999827971784</v>
      </c>
      <c r="O645" s="395" t="str">
        <f t="shared" ref="O645" si="1012">IF(G645&gt;M645,"Yes","No")</f>
        <v>No</v>
      </c>
      <c r="P645" s="396">
        <f t="shared" ref="P645" si="1013">IF(O645="Yes",1,0)</f>
        <v>0</v>
      </c>
      <c r="Q645" s="394">
        <f>SUM($P$4:P645)/COUNT($P$4:P645)</f>
        <v>0.53738317757009346</v>
      </c>
      <c r="S645" s="369">
        <v>17732.75</v>
      </c>
      <c r="T645" s="394">
        <f t="shared" ref="T645" si="1014">S645/S644-1</f>
        <v>1.6315844675084401E-2</v>
      </c>
      <c r="U645" s="394">
        <f t="shared" ref="U645" si="1015">(S645/$S$3)-1</f>
        <v>1.0661087212851927</v>
      </c>
      <c r="V645" s="395" t="str">
        <f t="shared" ref="V645" si="1016">IF(G645&gt;T645,"Yes","No")</f>
        <v>No</v>
      </c>
      <c r="W645" s="396">
        <f t="shared" ref="W645" si="1017">IF(V645="Yes",1,0)</f>
        <v>0</v>
      </c>
      <c r="X645" s="394">
        <f>SUM($W$478:W645)/COUNT($W$478:W645)</f>
        <v>0.52976190476190477</v>
      </c>
    </row>
    <row r="646" spans="1:24" x14ac:dyDescent="0.15">
      <c r="A646" s="384">
        <f t="shared" si="1005"/>
        <v>644</v>
      </c>
      <c r="B646" s="401">
        <f t="shared" si="667"/>
        <v>42334</v>
      </c>
      <c r="D646" s="390">
        <v>68246.179999999993</v>
      </c>
      <c r="E646" s="387">
        <v>68246.179999999993</v>
      </c>
      <c r="F646" s="387">
        <f t="shared" ref="F646" si="1018">E646-E645</f>
        <v>631.71999999998661</v>
      </c>
      <c r="G646" s="388">
        <f t="shared" ref="G646" si="1019">(E646/E645)-1</f>
        <v>9.3429719027555702E-3</v>
      </c>
      <c r="H646" s="387">
        <f t="shared" ref="H646" si="1020">E646-$D$3</f>
        <v>45390.329999999994</v>
      </c>
      <c r="I646" s="388">
        <f t="shared" ref="I646" si="1021">(E646/$D$3)-1</f>
        <v>1.9859392671898002</v>
      </c>
      <c r="L646" s="369">
        <v>2088.87</v>
      </c>
      <c r="M646" s="394">
        <f t="shared" ref="M646" si="1022">L646/L645-1</f>
        <v>3.6660836808826147E-3</v>
      </c>
      <c r="N646" s="394">
        <f t="shared" ref="N646" si="1023">(L646/$L$3)-1</f>
        <v>1.2459035781868226</v>
      </c>
      <c r="O646" s="395" t="str">
        <f t="shared" ref="O646" si="1024">IF(G646&gt;M646,"Yes","No")</f>
        <v>Yes</v>
      </c>
      <c r="P646" s="396">
        <f t="shared" ref="P646" si="1025">IF(O646="Yes",1,0)</f>
        <v>1</v>
      </c>
      <c r="Q646" s="394">
        <f>SUM($P$4:P646)/COUNT($P$4:P646)</f>
        <v>0.53810264385692064</v>
      </c>
      <c r="S646" s="369">
        <v>17813.39</v>
      </c>
      <c r="T646" s="394">
        <f t="shared" ref="T646" si="1026">S646/S645-1</f>
        <v>4.547518010460827E-3</v>
      </c>
      <c r="U646" s="394">
        <f t="shared" ref="U646" si="1027">(S646/$S$3)-1</f>
        <v>1.0755043879068076</v>
      </c>
      <c r="V646" s="395" t="str">
        <f t="shared" ref="V646" si="1028">IF(G646&gt;T646,"Yes","No")</f>
        <v>Yes</v>
      </c>
      <c r="W646" s="396">
        <f t="shared" ref="W646" si="1029">IF(V646="Yes",1,0)</f>
        <v>1</v>
      </c>
      <c r="X646" s="394">
        <f>SUM($W$478:W646)/COUNT($W$478:W646)</f>
        <v>0.53254437869822491</v>
      </c>
    </row>
    <row r="647" spans="1:24" x14ac:dyDescent="0.15">
      <c r="A647" s="384">
        <f t="shared" si="1005"/>
        <v>645</v>
      </c>
      <c r="B647" s="401">
        <f t="shared" si="667"/>
        <v>42341</v>
      </c>
      <c r="D647" s="390">
        <v>67771.69</v>
      </c>
      <c r="E647" s="387">
        <v>67771.69</v>
      </c>
      <c r="F647" s="387">
        <f t="shared" ref="F647" si="1030">E647-E646</f>
        <v>-474.48999999999069</v>
      </c>
      <c r="G647" s="388">
        <f t="shared" ref="G647" si="1031">(E647/E646)-1</f>
        <v>-6.952623575414596E-3</v>
      </c>
      <c r="H647" s="387">
        <f t="shared" ref="H647" si="1032">E647-$D$3</f>
        <v>44915.840000000004</v>
      </c>
      <c r="I647" s="388">
        <f t="shared" ref="I647" si="1033">(E647/$D$3)-1</f>
        <v>1.9651791554459801</v>
      </c>
      <c r="L647" s="369">
        <v>2049.62</v>
      </c>
      <c r="M647" s="394">
        <f t="shared" ref="M647" si="1034">L647/L646-1</f>
        <v>-1.8790063527170164E-2</v>
      </c>
      <c r="N647" s="394">
        <f t="shared" ref="N647" si="1035">(L647/$L$3)-1</f>
        <v>1.2037029072767931</v>
      </c>
      <c r="O647" s="395" t="str">
        <f t="shared" ref="O647" si="1036">IF(G647&gt;M647,"Yes","No")</f>
        <v>Yes</v>
      </c>
      <c r="P647" s="396">
        <f t="shared" ref="P647" si="1037">IF(O647="Yes",1,0)</f>
        <v>1</v>
      </c>
      <c r="Q647" s="394">
        <f>SUM($P$4:P647)/COUNT($P$4:P647)</f>
        <v>0.53881987577639756</v>
      </c>
      <c r="S647" s="369">
        <v>17477.669999999998</v>
      </c>
      <c r="T647" s="394">
        <f t="shared" ref="T647" si="1038">S647/S646-1</f>
        <v>-1.8846496932925283E-2</v>
      </c>
      <c r="U647" s="394">
        <f t="shared" ref="U647" si="1039">(S647/$S$3)-1</f>
        <v>1.036388400825849</v>
      </c>
      <c r="V647" s="395" t="str">
        <f t="shared" ref="V647" si="1040">IF(G647&gt;T647,"Yes","No")</f>
        <v>Yes</v>
      </c>
      <c r="W647" s="396">
        <f t="shared" ref="W647" si="1041">IF(V647="Yes",1,0)</f>
        <v>1</v>
      </c>
      <c r="X647" s="394">
        <f>SUM($W$478:W647)/COUNT($W$478:W647)</f>
        <v>0.53529411764705881</v>
      </c>
    </row>
    <row r="648" spans="1:24" x14ac:dyDescent="0.15">
      <c r="A648" s="384">
        <f t="shared" si="1005"/>
        <v>646</v>
      </c>
      <c r="B648" s="401">
        <f t="shared" si="667"/>
        <v>42348</v>
      </c>
      <c r="D648" s="390">
        <v>68235.12</v>
      </c>
      <c r="E648" s="387">
        <v>68235.12</v>
      </c>
      <c r="F648" s="387">
        <f t="shared" ref="F648" si="1042">E648-E647</f>
        <v>463.42999999999302</v>
      </c>
      <c r="G648" s="388">
        <f t="shared" ref="G648" si="1043">(E648/E647)-1</f>
        <v>6.8381059997175697E-3</v>
      </c>
      <c r="H648" s="387">
        <f t="shared" ref="H648" si="1044">E648-$D$3</f>
        <v>45379.27</v>
      </c>
      <c r="I648" s="388">
        <f t="shared" ref="I648" si="1045">(E648/$D$3)-1</f>
        <v>1.9854553648190727</v>
      </c>
      <c r="L648" s="369">
        <v>2052.23</v>
      </c>
      <c r="M648" s="394">
        <f t="shared" ref="M648" si="1046">L648/L647-1</f>
        <v>1.2734067778417124E-3</v>
      </c>
      <c r="N648" s="394">
        <f t="shared" ref="N648" si="1047">(L648/$L$3)-1</f>
        <v>1.2065091174952691</v>
      </c>
      <c r="O648" s="395" t="str">
        <f t="shared" ref="O648" si="1048">IF(G648&gt;M648,"Yes","No")</f>
        <v>Yes</v>
      </c>
      <c r="P648" s="396">
        <f t="shared" ref="P648" si="1049">IF(O648="Yes",1,0)</f>
        <v>1</v>
      </c>
      <c r="Q648" s="394">
        <f>SUM($P$4:P648)/COUNT($P$4:P648)</f>
        <v>0.53953488372093028</v>
      </c>
      <c r="S648" s="369">
        <v>17574.75</v>
      </c>
      <c r="T648" s="394">
        <f t="shared" ref="T648" si="1050">S648/S647-1</f>
        <v>5.5545161340155857E-3</v>
      </c>
      <c r="U648" s="394">
        <f t="shared" ref="U648" si="1051">(S648/$S$3)-1</f>
        <v>1.0476995530533584</v>
      </c>
      <c r="V648" s="395" t="str">
        <f t="shared" ref="V648" si="1052">IF(G648&gt;T648,"Yes","No")</f>
        <v>Yes</v>
      </c>
      <c r="W648" s="396">
        <f t="shared" ref="W648" si="1053">IF(V648="Yes",1,0)</f>
        <v>1</v>
      </c>
      <c r="X648" s="394">
        <f>SUM($W$478:W648)/COUNT($W$478:W648)</f>
        <v>0.53801169590643272</v>
      </c>
    </row>
    <row r="649" spans="1:24" x14ac:dyDescent="0.15">
      <c r="A649" s="384">
        <f t="shared" si="1005"/>
        <v>647</v>
      </c>
      <c r="B649" s="401">
        <f t="shared" si="667"/>
        <v>42355</v>
      </c>
      <c r="D649" s="390">
        <v>68032.08</v>
      </c>
      <c r="E649" s="387">
        <v>68032.08</v>
      </c>
      <c r="F649" s="387">
        <f t="shared" ref="F649" si="1054">E649-E648</f>
        <v>-203.0399999999936</v>
      </c>
      <c r="G649" s="388">
        <f t="shared" ref="G649" si="1055">(E649/E648)-1</f>
        <v>-2.9755937997909543E-3</v>
      </c>
      <c r="H649" s="387">
        <f t="shared" ref="H649" si="1056">E649-$D$3</f>
        <v>45176.23</v>
      </c>
      <c r="I649" s="388">
        <f t="shared" ref="I649" si="1057">(E649/$D$3)-1</f>
        <v>1.9765718623459643</v>
      </c>
      <c r="L649" s="369">
        <v>2041.89</v>
      </c>
      <c r="M649" s="394">
        <f t="shared" ref="M649" si="1058">L649/L648-1</f>
        <v>-5.0384216194090392E-3</v>
      </c>
      <c r="N649" s="394">
        <f t="shared" ref="N649" si="1059">(L649/$L$3)-1</f>
        <v>1.1953917942542578</v>
      </c>
      <c r="O649" s="395" t="str">
        <f t="shared" ref="O649" si="1060">IF(G649&gt;M649,"Yes","No")</f>
        <v>Yes</v>
      </c>
      <c r="P649" s="396">
        <f t="shared" ref="P649" si="1061">IF(O649="Yes",1,0)</f>
        <v>1</v>
      </c>
      <c r="Q649" s="394">
        <f>SUM($P$4:P649)/COUNT($P$4:P649)</f>
        <v>0.54024767801857587</v>
      </c>
      <c r="S649" s="369">
        <v>17495.84</v>
      </c>
      <c r="T649" s="394">
        <f t="shared" ref="T649" si="1062">S649/S648-1</f>
        <v>-4.4899642953669661E-3</v>
      </c>
      <c r="U649" s="394">
        <f t="shared" ref="U649" si="1063">(S649/$S$3)-1</f>
        <v>1.0385054551725101</v>
      </c>
      <c r="V649" s="395" t="str">
        <f t="shared" ref="V649" si="1064">IF(G649&gt;T649,"Yes","No")</f>
        <v>Yes</v>
      </c>
      <c r="W649" s="396">
        <f t="shared" ref="W649" si="1065">IF(V649="Yes",1,0)</f>
        <v>1</v>
      </c>
      <c r="X649" s="394">
        <f>SUM($W$478:W649)/COUNT($W$478:W649)</f>
        <v>0.54069767441860461</v>
      </c>
    </row>
    <row r="650" spans="1:24" x14ac:dyDescent="0.15">
      <c r="A650" s="384">
        <f t="shared" si="1005"/>
        <v>648</v>
      </c>
      <c r="B650" s="401">
        <f t="shared" si="667"/>
        <v>42362</v>
      </c>
      <c r="D650" s="390">
        <v>68624.87</v>
      </c>
      <c r="E650" s="387">
        <v>68624.87</v>
      </c>
      <c r="F650" s="387">
        <f t="shared" ref="F650:F713" si="1066">E650-E649</f>
        <v>592.7899999999936</v>
      </c>
      <c r="G650" s="388">
        <f t="shared" ref="G650:G702" si="1067">(E650/E649)-1</f>
        <v>8.713389330445187E-3</v>
      </c>
      <c r="H650" s="387">
        <f t="shared" ref="H650:H702" si="1068">E650-$D$3</f>
        <v>45769.02</v>
      </c>
      <c r="I650" s="388">
        <f t="shared" ref="I650:I702" si="1069">(E650/$D$3)-1</f>
        <v>2.0025078918526331</v>
      </c>
      <c r="L650" s="369">
        <v>2060.9899999999998</v>
      </c>
      <c r="M650" s="394">
        <f t="shared" ref="M650:M674" si="1070">L650/L649-1</f>
        <v>9.3540788191330826E-3</v>
      </c>
      <c r="N650" s="394">
        <f t="shared" ref="N650:N706" si="1071">(L650/$L$3)-1</f>
        <v>1.2159276621365902</v>
      </c>
      <c r="O650" s="395" t="str">
        <f t="shared" ref="O650:O674" si="1072">IF(G650&gt;M650,"Yes","No")</f>
        <v>No</v>
      </c>
      <c r="P650" s="396">
        <f t="shared" ref="P650:P706" si="1073">IF(O650="Yes",1,0)</f>
        <v>0</v>
      </c>
      <c r="Q650" s="394">
        <f>SUM($P$4:P650)/COUNT($P$4:P650)</f>
        <v>0.53941267387944358</v>
      </c>
      <c r="S650" s="369">
        <v>17552.169999999998</v>
      </c>
      <c r="T650" s="394">
        <f t="shared" ref="T650:T679" si="1074">S650/S649-1</f>
        <v>3.219622493118246E-3</v>
      </c>
      <c r="U650" s="394">
        <f t="shared" ref="U650:U679" si="1075">(S650/$S$3)-1</f>
        <v>1.0450686731883279</v>
      </c>
      <c r="V650" s="395" t="str">
        <f t="shared" ref="V650:V679" si="1076">IF(G650&gt;T650,"Yes","No")</f>
        <v>Yes</v>
      </c>
      <c r="W650" s="396">
        <f t="shared" ref="W650:W679" si="1077">IF(V650="Yes",1,0)</f>
        <v>1</v>
      </c>
      <c r="X650" s="394">
        <f>SUM($W$478:W650)/COUNT($W$478:W650)</f>
        <v>0.54335260115606931</v>
      </c>
    </row>
    <row r="651" spans="1:24" x14ac:dyDescent="0.15">
      <c r="A651" s="384">
        <f t="shared" si="1005"/>
        <v>649</v>
      </c>
      <c r="B651" s="401">
        <f t="shared" si="667"/>
        <v>42369</v>
      </c>
      <c r="D651" s="390">
        <v>67976.160000000003</v>
      </c>
      <c r="E651" s="387">
        <v>67976.160000000003</v>
      </c>
      <c r="F651" s="387">
        <f t="shared" si="1066"/>
        <v>-648.70999999999185</v>
      </c>
      <c r="G651" s="388">
        <f t="shared" si="1067"/>
        <v>-9.4529869419058832E-3</v>
      </c>
      <c r="H651" s="387">
        <f t="shared" si="1068"/>
        <v>45120.310000000005</v>
      </c>
      <c r="I651" s="388">
        <f t="shared" si="1069"/>
        <v>1.9741252239579805</v>
      </c>
      <c r="L651" s="369">
        <v>2043.94</v>
      </c>
      <c r="M651" s="394">
        <f t="shared" si="1070"/>
        <v>-8.2727233028785374E-3</v>
      </c>
      <c r="N651" s="394">
        <f t="shared" si="1071"/>
        <v>1.1975959057285395</v>
      </c>
      <c r="O651" s="395" t="str">
        <f t="shared" si="1072"/>
        <v>No</v>
      </c>
      <c r="P651" s="396">
        <f t="shared" si="1073"/>
        <v>0</v>
      </c>
      <c r="Q651" s="394">
        <f>SUM($P$4:P651)/COUNT($P$4:P651)</f>
        <v>0.5385802469135802</v>
      </c>
      <c r="S651" s="369">
        <v>17425.03</v>
      </c>
      <c r="T651" s="394">
        <f t="shared" si="1074"/>
        <v>-7.2435488033673057E-3</v>
      </c>
      <c r="U651" s="394">
        <f t="shared" si="1075"/>
        <v>1.0302551184478506</v>
      </c>
      <c r="V651" s="395" t="str">
        <f t="shared" si="1076"/>
        <v>No</v>
      </c>
      <c r="W651" s="396">
        <f t="shared" si="1077"/>
        <v>0</v>
      </c>
      <c r="X651" s="394">
        <f>SUM($W$478:W651)/COUNT($W$478:W651)</f>
        <v>0.54022988505747127</v>
      </c>
    </row>
    <row r="652" spans="1:24" x14ac:dyDescent="0.15">
      <c r="A652" s="384">
        <f t="shared" si="1005"/>
        <v>650</v>
      </c>
      <c r="B652" s="401">
        <f t="shared" si="667"/>
        <v>42376</v>
      </c>
      <c r="D652" s="390">
        <v>65357.02</v>
      </c>
      <c r="E652" s="387">
        <v>65357.02</v>
      </c>
      <c r="F652" s="387">
        <f t="shared" si="1066"/>
        <v>-2619.1400000000067</v>
      </c>
      <c r="G652" s="388">
        <f t="shared" si="1067"/>
        <v>-3.8530272966287082E-2</v>
      </c>
      <c r="H652" s="387">
        <f t="shared" si="1068"/>
        <v>42501.17</v>
      </c>
      <c r="I652" s="388">
        <f t="shared" si="1069"/>
        <v>1.8595313672429596</v>
      </c>
      <c r="L652" s="369">
        <v>1943.09</v>
      </c>
      <c r="M652" s="394">
        <f t="shared" si="1070"/>
        <v>-4.9340978698004911E-2</v>
      </c>
      <c r="N652" s="394">
        <f t="shared" si="1071"/>
        <v>1.089164372957165</v>
      </c>
      <c r="O652" s="395" t="str">
        <f t="shared" si="1072"/>
        <v>Yes</v>
      </c>
      <c r="P652" s="396">
        <f t="shared" si="1073"/>
        <v>1</v>
      </c>
      <c r="Q652" s="394">
        <f>SUM($P$4:P652)/COUNT($P$4:P652)</f>
        <v>0.53929121725731899</v>
      </c>
      <c r="S652" s="369">
        <v>16514.099999999999</v>
      </c>
      <c r="T652" s="394">
        <f t="shared" si="1074"/>
        <v>-5.2277097944738116E-2</v>
      </c>
      <c r="U652" s="394">
        <f t="shared" si="1075"/>
        <v>0.92411927276794636</v>
      </c>
      <c r="V652" s="395" t="str">
        <f t="shared" si="1076"/>
        <v>Yes</v>
      </c>
      <c r="W652" s="396">
        <f t="shared" si="1077"/>
        <v>1</v>
      </c>
      <c r="X652" s="394">
        <f>SUM($W$478:W652)/COUNT($W$478:W652)</f>
        <v>0.54285714285714282</v>
      </c>
    </row>
    <row r="653" spans="1:24" x14ac:dyDescent="0.15">
      <c r="A653" s="384">
        <f t="shared" si="1005"/>
        <v>651</v>
      </c>
      <c r="B653" s="401">
        <f t="shared" ref="B653:B716" si="1078">B652+7</f>
        <v>42383</v>
      </c>
      <c r="D653" s="390">
        <v>63661.599999999999</v>
      </c>
      <c r="E653" s="387">
        <v>63661.599999999999</v>
      </c>
      <c r="F653" s="387">
        <f t="shared" si="1066"/>
        <v>-1695.4199999999983</v>
      </c>
      <c r="G653" s="388">
        <f t="shared" si="1067"/>
        <v>-2.5940901222240575E-2</v>
      </c>
      <c r="H653" s="387">
        <f t="shared" si="1068"/>
        <v>40805.75</v>
      </c>
      <c r="I653" s="388">
        <f t="shared" si="1069"/>
        <v>1.7853525465034119</v>
      </c>
      <c r="L653" s="369">
        <v>1921.84</v>
      </c>
      <c r="M653" s="394">
        <f t="shared" si="1070"/>
        <v>-1.0936189265551288E-2</v>
      </c>
      <c r="N653" s="394">
        <f t="shared" si="1071"/>
        <v>1.0663168759676585</v>
      </c>
      <c r="O653" s="395" t="str">
        <f t="shared" si="1072"/>
        <v>No</v>
      </c>
      <c r="P653" s="396">
        <f t="shared" si="1073"/>
        <v>0</v>
      </c>
      <c r="Q653" s="394">
        <f>SUM($P$4:P653)/COUNT($P$4:P653)</f>
        <v>0.53846153846153844</v>
      </c>
      <c r="S653" s="369">
        <v>16379.05</v>
      </c>
      <c r="T653" s="394">
        <f t="shared" si="1074"/>
        <v>-8.1778601316450095E-3</v>
      </c>
      <c r="U653" s="394">
        <f t="shared" si="1075"/>
        <v>0.90838409447864765</v>
      </c>
      <c r="V653" s="395" t="str">
        <f t="shared" si="1076"/>
        <v>No</v>
      </c>
      <c r="W653" s="396">
        <f t="shared" si="1077"/>
        <v>0</v>
      </c>
      <c r="X653" s="394">
        <f>SUM($W$478:W653)/COUNT($W$478:W653)</f>
        <v>0.53977272727272729</v>
      </c>
    </row>
    <row r="654" spans="1:24" x14ac:dyDescent="0.15">
      <c r="A654" s="384">
        <f t="shared" si="1005"/>
        <v>652</v>
      </c>
      <c r="B654" s="401">
        <f t="shared" si="1078"/>
        <v>42390</v>
      </c>
      <c r="D654" s="390">
        <v>62568.12</v>
      </c>
      <c r="E654" s="387">
        <v>62568.12</v>
      </c>
      <c r="F654" s="387">
        <f t="shared" si="1066"/>
        <v>-1093.4799999999959</v>
      </c>
      <c r="G654" s="388">
        <f t="shared" si="1067"/>
        <v>-1.7176445455345024E-2</v>
      </c>
      <c r="H654" s="387">
        <f t="shared" si="1068"/>
        <v>39712.270000000004</v>
      </c>
      <c r="I654" s="388">
        <f t="shared" si="1069"/>
        <v>1.7375100904144896</v>
      </c>
      <c r="L654" s="369">
        <v>1868.99</v>
      </c>
      <c r="M654" s="394">
        <f t="shared" si="1070"/>
        <v>-2.7499687799192429E-2</v>
      </c>
      <c r="N654" s="394">
        <f t="shared" si="1071"/>
        <v>1.0094938069843455</v>
      </c>
      <c r="O654" s="395" t="str">
        <f t="shared" si="1072"/>
        <v>Yes</v>
      </c>
      <c r="P654" s="396">
        <f t="shared" si="1073"/>
        <v>1</v>
      </c>
      <c r="Q654" s="394">
        <f>SUM($P$4:P654)/COUNT($P$4:P654)</f>
        <v>0.53917050691244239</v>
      </c>
      <c r="S654" s="369">
        <v>15882.68</v>
      </c>
      <c r="T654" s="394">
        <f t="shared" si="1074"/>
        <v>-3.0305176429646363E-2</v>
      </c>
      <c r="U654" s="394">
        <f t="shared" si="1075"/>
        <v>0.85055017779994135</v>
      </c>
      <c r="V654" s="395" t="str">
        <f t="shared" si="1076"/>
        <v>Yes</v>
      </c>
      <c r="W654" s="396">
        <f t="shared" si="1077"/>
        <v>1</v>
      </c>
      <c r="X654" s="394">
        <f>SUM($W$478:W654)/COUNT($W$478:W654)</f>
        <v>0.5423728813559322</v>
      </c>
    </row>
    <row r="655" spans="1:24" x14ac:dyDescent="0.15">
      <c r="A655" s="384">
        <f t="shared" si="1005"/>
        <v>653</v>
      </c>
      <c r="B655" s="401">
        <f t="shared" si="1078"/>
        <v>42397</v>
      </c>
      <c r="D655" s="390">
        <v>62585.01</v>
      </c>
      <c r="E655" s="387">
        <v>62585.01</v>
      </c>
      <c r="F655" s="387">
        <f t="shared" si="1066"/>
        <v>16.889999999999418</v>
      </c>
      <c r="G655" s="388">
        <f t="shared" si="1067"/>
        <v>2.6994578069472475E-4</v>
      </c>
      <c r="H655" s="387">
        <f t="shared" si="1068"/>
        <v>39729.160000000003</v>
      </c>
      <c r="I655" s="388">
        <f t="shared" si="1069"/>
        <v>1.7382490697130057</v>
      </c>
      <c r="L655" s="369">
        <v>1893.36</v>
      </c>
      <c r="M655" s="394">
        <f t="shared" si="1070"/>
        <v>1.3039128085222451E-2</v>
      </c>
      <c r="N655" s="394">
        <f t="shared" si="1071"/>
        <v>1.0356958541200756</v>
      </c>
      <c r="O655" s="395" t="str">
        <f t="shared" si="1072"/>
        <v>No</v>
      </c>
      <c r="P655" s="396">
        <f t="shared" si="1073"/>
        <v>0</v>
      </c>
      <c r="Q655" s="394">
        <f>SUM($P$4:P655)/COUNT($P$4:P655)</f>
        <v>0.53834355828220859</v>
      </c>
      <c r="S655" s="369">
        <v>16069.64</v>
      </c>
      <c r="T655" s="394">
        <f t="shared" si="1074"/>
        <v>1.1771313153699392E-2</v>
      </c>
      <c r="U655" s="394">
        <f t="shared" si="1075"/>
        <v>0.87233358344945855</v>
      </c>
      <c r="V655" s="395" t="str">
        <f t="shared" si="1076"/>
        <v>No</v>
      </c>
      <c r="W655" s="396">
        <f t="shared" si="1077"/>
        <v>0</v>
      </c>
      <c r="X655" s="394">
        <f>SUM($W$478:W655)/COUNT($W$478:W655)</f>
        <v>0.5393258426966292</v>
      </c>
    </row>
    <row r="656" spans="1:24" x14ac:dyDescent="0.15">
      <c r="A656" s="384">
        <f t="shared" si="1005"/>
        <v>654</v>
      </c>
      <c r="B656" s="401">
        <f t="shared" si="1078"/>
        <v>42404</v>
      </c>
      <c r="D656" s="390">
        <v>62726.843959999991</v>
      </c>
      <c r="E656" s="387">
        <v>62726.843959999991</v>
      </c>
      <c r="F656" s="387">
        <f t="shared" si="1066"/>
        <v>141.83395999998902</v>
      </c>
      <c r="G656" s="388">
        <f t="shared" si="1067"/>
        <v>2.2662608825978481E-3</v>
      </c>
      <c r="H656" s="387">
        <f t="shared" si="1068"/>
        <v>39870.993959999993</v>
      </c>
      <c r="I656" s="388">
        <f t="shared" si="1069"/>
        <v>1.7444546564665062</v>
      </c>
      <c r="L656" s="369">
        <v>1915.45</v>
      </c>
      <c r="M656" s="394">
        <f t="shared" si="1070"/>
        <v>1.1667089195926961E-2</v>
      </c>
      <c r="N656" s="394">
        <f t="shared" si="1071"/>
        <v>1.059446499225873</v>
      </c>
      <c r="O656" s="395" t="str">
        <f t="shared" si="1072"/>
        <v>No</v>
      </c>
      <c r="P656" s="396">
        <f t="shared" si="1073"/>
        <v>0</v>
      </c>
      <c r="Q656" s="394">
        <f>SUM($P$4:P656)/COUNT($P$4:P656)</f>
        <v>0.53751914241960186</v>
      </c>
      <c r="S656" s="369">
        <v>16416.580000000002</v>
      </c>
      <c r="T656" s="394">
        <f t="shared" si="1074"/>
        <v>2.1589780480459009E-2</v>
      </c>
      <c r="U656" s="394">
        <f t="shared" si="1075"/>
        <v>0.91275685450232347</v>
      </c>
      <c r="V656" s="395" t="str">
        <f t="shared" si="1076"/>
        <v>No</v>
      </c>
      <c r="W656" s="396">
        <f t="shared" si="1077"/>
        <v>0</v>
      </c>
      <c r="X656" s="394">
        <f>SUM($W$478:W656)/COUNT($W$478:W656)</f>
        <v>0.53631284916201116</v>
      </c>
    </row>
    <row r="657" spans="1:24" x14ac:dyDescent="0.15">
      <c r="A657" s="384">
        <f t="shared" si="1005"/>
        <v>655</v>
      </c>
      <c r="B657" s="401">
        <f t="shared" si="1078"/>
        <v>42411</v>
      </c>
      <c r="D657" s="390">
        <v>62015.266780000005</v>
      </c>
      <c r="E657" s="387">
        <v>62015.266780000005</v>
      </c>
      <c r="F657" s="387">
        <f t="shared" si="1066"/>
        <v>-711.57717999998567</v>
      </c>
      <c r="G657" s="388">
        <f t="shared" si="1067"/>
        <v>-1.1344061570413899E-2</v>
      </c>
      <c r="H657" s="387">
        <f t="shared" si="1068"/>
        <v>39159.416780000007</v>
      </c>
      <c r="I657" s="388">
        <f t="shared" si="1069"/>
        <v>1.713321393866341</v>
      </c>
      <c r="L657" s="369">
        <v>1828.57</v>
      </c>
      <c r="M657" s="394">
        <f t="shared" si="1070"/>
        <v>-4.5357487796601426E-2</v>
      </c>
      <c r="N657" s="394">
        <f t="shared" si="1071"/>
        <v>0.96603517976948194</v>
      </c>
      <c r="O657" s="395" t="str">
        <f t="shared" si="1072"/>
        <v>Yes</v>
      </c>
      <c r="P657" s="396">
        <f t="shared" si="1073"/>
        <v>1</v>
      </c>
      <c r="Q657" s="394">
        <f>SUM($P$4:P657)/COUNT($P$4:P657)</f>
        <v>0.53822629969418956</v>
      </c>
      <c r="S657" s="369">
        <v>15655.12</v>
      </c>
      <c r="T657" s="394">
        <f t="shared" si="1074"/>
        <v>-4.6383595121517462E-2</v>
      </c>
      <c r="U657" s="394">
        <f t="shared" si="1075"/>
        <v>0.82403631499718033</v>
      </c>
      <c r="V657" s="395" t="str">
        <f t="shared" si="1076"/>
        <v>Yes</v>
      </c>
      <c r="W657" s="396">
        <f t="shared" si="1077"/>
        <v>1</v>
      </c>
      <c r="X657" s="394">
        <f>SUM($W$478:W657)/COUNT($W$478:W657)</f>
        <v>0.53888888888888886</v>
      </c>
    </row>
    <row r="658" spans="1:24" x14ac:dyDescent="0.15">
      <c r="A658" s="384">
        <f t="shared" si="1005"/>
        <v>656</v>
      </c>
      <c r="B658" s="401">
        <f t="shared" si="1078"/>
        <v>42418</v>
      </c>
      <c r="D658" s="390">
        <v>65198.36</v>
      </c>
      <c r="E658" s="387">
        <v>65198.36</v>
      </c>
      <c r="F658" s="387">
        <f t="shared" si="1066"/>
        <v>3183.0932199999952</v>
      </c>
      <c r="G658" s="388">
        <f t="shared" si="1067"/>
        <v>5.1327574406670795E-2</v>
      </c>
      <c r="H658" s="387">
        <f t="shared" si="1068"/>
        <v>42342.51</v>
      </c>
      <c r="I658" s="388">
        <f t="shared" si="1069"/>
        <v>1.8525895995992276</v>
      </c>
      <c r="L658" s="369">
        <v>1917.83</v>
      </c>
      <c r="M658" s="394">
        <f t="shared" si="1070"/>
        <v>4.88141006360161E-2</v>
      </c>
      <c r="N658" s="394">
        <f t="shared" si="1071"/>
        <v>1.0620054188886976</v>
      </c>
      <c r="O658" s="395" t="str">
        <f t="shared" si="1072"/>
        <v>Yes</v>
      </c>
      <c r="P658" s="396">
        <f t="shared" si="1073"/>
        <v>1</v>
      </c>
      <c r="Q658" s="394">
        <f>SUM($P$4:P658)/COUNT($P$4:P658)</f>
        <v>0.53893129770992365</v>
      </c>
      <c r="S658" s="369">
        <v>16413.43</v>
      </c>
      <c r="T658" s="394">
        <f t="shared" si="1074"/>
        <v>4.8438466137595837E-2</v>
      </c>
      <c r="U658" s="394">
        <f t="shared" si="1075"/>
        <v>0.91238983627491632</v>
      </c>
      <c r="V658" s="395" t="str">
        <f t="shared" si="1076"/>
        <v>Yes</v>
      </c>
      <c r="W658" s="396">
        <f t="shared" si="1077"/>
        <v>1</v>
      </c>
      <c r="X658" s="394">
        <f>SUM($W$478:W658)/COUNT($W$478:W658)</f>
        <v>0.54143646408839774</v>
      </c>
    </row>
    <row r="659" spans="1:24" x14ac:dyDescent="0.15">
      <c r="A659" s="384">
        <f t="shared" si="1005"/>
        <v>657</v>
      </c>
      <c r="B659" s="401">
        <f t="shared" si="1078"/>
        <v>42425</v>
      </c>
      <c r="D659" s="390">
        <v>66336.852479999987</v>
      </c>
      <c r="E659" s="387">
        <v>66336.852479999987</v>
      </c>
      <c r="F659" s="387">
        <f t="shared" si="1066"/>
        <v>1138.4924799999862</v>
      </c>
      <c r="G659" s="388">
        <f t="shared" si="1067"/>
        <v>1.7461980332020399E-2</v>
      </c>
      <c r="H659" s="387">
        <f t="shared" si="1068"/>
        <v>43481.002479999988</v>
      </c>
      <c r="I659" s="388">
        <f t="shared" si="1069"/>
        <v>1.902401463082755</v>
      </c>
      <c r="L659" s="369">
        <v>1951.7</v>
      </c>
      <c r="M659" s="394">
        <f t="shared" si="1070"/>
        <v>1.7660585140497398E-2</v>
      </c>
      <c r="N659" s="394">
        <f t="shared" si="1071"/>
        <v>1.0984216411491485</v>
      </c>
      <c r="O659" s="395" t="str">
        <f t="shared" si="1072"/>
        <v>No</v>
      </c>
      <c r="P659" s="396">
        <f t="shared" si="1073"/>
        <v>0</v>
      </c>
      <c r="Q659" s="394">
        <f>SUM($P$4:P659)/COUNT($P$4:P659)</f>
        <v>0.53810975609756095</v>
      </c>
      <c r="S659" s="369">
        <v>16697.29</v>
      </c>
      <c r="T659" s="394">
        <f t="shared" si="1074"/>
        <v>1.7294374180168326E-2</v>
      </c>
      <c r="U659" s="394">
        <f t="shared" si="1075"/>
        <v>0.94546342168180564</v>
      </c>
      <c r="V659" s="395" t="str">
        <f t="shared" si="1076"/>
        <v>Yes</v>
      </c>
      <c r="W659" s="396">
        <f t="shared" si="1077"/>
        <v>1</v>
      </c>
      <c r="X659" s="394">
        <f>SUM($W$478:W659)/COUNT($W$478:W659)</f>
        <v>0.54395604395604391</v>
      </c>
    </row>
    <row r="660" spans="1:24" x14ac:dyDescent="0.15">
      <c r="A660" s="384">
        <f t="shared" si="1005"/>
        <v>658</v>
      </c>
      <c r="B660" s="401">
        <f t="shared" si="1078"/>
        <v>42432</v>
      </c>
      <c r="D660" s="390">
        <v>67383.63132</v>
      </c>
      <c r="E660" s="390">
        <v>67383.63132</v>
      </c>
      <c r="F660" s="387">
        <f t="shared" si="1066"/>
        <v>1046.7788400000136</v>
      </c>
      <c r="G660" s="388">
        <f t="shared" si="1067"/>
        <v>1.5779748373132563E-2</v>
      </c>
      <c r="H660" s="387">
        <f t="shared" si="1068"/>
        <v>44527.781320000002</v>
      </c>
      <c r="I660" s="388">
        <f t="shared" si="1069"/>
        <v>1.9482006278480131</v>
      </c>
      <c r="L660" s="369">
        <v>1993.36</v>
      </c>
      <c r="M660" s="394">
        <f t="shared" si="1070"/>
        <v>2.134549367218308E-2</v>
      </c>
      <c r="N660" s="394">
        <f t="shared" si="1071"/>
        <v>1.1432134870118698</v>
      </c>
      <c r="O660" s="395" t="str">
        <f t="shared" si="1072"/>
        <v>No</v>
      </c>
      <c r="P660" s="396">
        <f t="shared" si="1073"/>
        <v>0</v>
      </c>
      <c r="Q660" s="394">
        <f>SUM($P$4:P660)/COUNT($P$4:P660)</f>
        <v>0.53729071537290718</v>
      </c>
      <c r="S660" s="369">
        <v>16943.11</v>
      </c>
      <c r="T660" s="394">
        <f t="shared" si="1074"/>
        <v>1.472214952246742E-2</v>
      </c>
      <c r="U660" s="394">
        <f t="shared" si="1075"/>
        <v>0.97410482506629625</v>
      </c>
      <c r="V660" s="395" t="str">
        <f t="shared" si="1076"/>
        <v>Yes</v>
      </c>
      <c r="W660" s="396">
        <f t="shared" si="1077"/>
        <v>1</v>
      </c>
      <c r="X660" s="394">
        <f>SUM($W$478:W660)/COUNT($W$478:W660)</f>
        <v>0.54644808743169404</v>
      </c>
    </row>
    <row r="661" spans="1:24" x14ac:dyDescent="0.15">
      <c r="A661" s="384">
        <f t="shared" si="1005"/>
        <v>659</v>
      </c>
      <c r="B661" s="401">
        <f t="shared" si="1078"/>
        <v>42439</v>
      </c>
      <c r="D661" s="390">
        <v>67086.398979999998</v>
      </c>
      <c r="E661" s="387">
        <v>67086.398979999998</v>
      </c>
      <c r="F661" s="387">
        <f t="shared" si="1066"/>
        <v>-297.2323400000023</v>
      </c>
      <c r="G661" s="388">
        <f t="shared" si="1067"/>
        <v>-4.4110466322075936E-3</v>
      </c>
      <c r="H661" s="387">
        <f t="shared" si="1068"/>
        <v>44230.54898</v>
      </c>
      <c r="I661" s="388">
        <f t="shared" si="1069"/>
        <v>1.9351959773974716</v>
      </c>
      <c r="L661" s="369">
        <v>1975.92</v>
      </c>
      <c r="M661" s="394">
        <f t="shared" si="1070"/>
        <v>-8.7490468354937123E-3</v>
      </c>
      <c r="N661" s="394">
        <f t="shared" si="1071"/>
        <v>1.1244624118355411</v>
      </c>
      <c r="O661" s="395" t="str">
        <f t="shared" si="1072"/>
        <v>Yes</v>
      </c>
      <c r="P661" s="396">
        <f t="shared" si="1073"/>
        <v>1</v>
      </c>
      <c r="Q661" s="394">
        <f>SUM($P$4:P661)/COUNT($P$4:P661)</f>
        <v>0.53799392097264442</v>
      </c>
      <c r="S661" s="369">
        <v>16893.2</v>
      </c>
      <c r="T661" s="394">
        <f t="shared" si="1074"/>
        <v>-2.9457401858336008E-3</v>
      </c>
      <c r="U661" s="394">
        <f t="shared" si="1075"/>
        <v>0.96828962515205053</v>
      </c>
      <c r="V661" s="395" t="str">
        <f t="shared" si="1076"/>
        <v>No</v>
      </c>
      <c r="W661" s="396">
        <f t="shared" si="1077"/>
        <v>0</v>
      </c>
      <c r="X661" s="394">
        <f>SUM($W$478:W661)/COUNT($W$478:W661)</f>
        <v>0.54347826086956519</v>
      </c>
    </row>
    <row r="662" spans="1:24" x14ac:dyDescent="0.15">
      <c r="A662" s="384">
        <f t="shared" si="1005"/>
        <v>660</v>
      </c>
      <c r="B662" s="401">
        <f t="shared" si="1078"/>
        <v>42446</v>
      </c>
      <c r="D662" s="390">
        <v>68347.006759999989</v>
      </c>
      <c r="E662" s="387">
        <v>68347.006759999989</v>
      </c>
      <c r="F662" s="387">
        <f t="shared" si="1066"/>
        <v>1260.6077799999912</v>
      </c>
      <c r="G662" s="388">
        <f t="shared" si="1067"/>
        <v>1.8790810047440543E-2</v>
      </c>
      <c r="H662" s="387">
        <f t="shared" si="1068"/>
        <v>45491.156759999991</v>
      </c>
      <c r="I662" s="388">
        <f t="shared" si="1069"/>
        <v>1.9903506874607593</v>
      </c>
      <c r="L662" s="369">
        <v>2040.59</v>
      </c>
      <c r="M662" s="394">
        <f t="shared" si="1070"/>
        <v>3.2729057856593302E-2</v>
      </c>
      <c r="N662" s="394">
        <f t="shared" si="1071"/>
        <v>1.1939940650266641</v>
      </c>
      <c r="O662" s="395" t="str">
        <f t="shared" si="1072"/>
        <v>No</v>
      </c>
      <c r="P662" s="396">
        <f t="shared" si="1073"/>
        <v>0</v>
      </c>
      <c r="Q662" s="394">
        <f>SUM($P$4:P662)/COUNT($P$4:P662)</f>
        <v>0.53717754172989374</v>
      </c>
      <c r="S662" s="369">
        <v>17481.29</v>
      </c>
      <c r="T662" s="394">
        <f t="shared" si="1074"/>
        <v>3.4812232140743138E-2</v>
      </c>
      <c r="U662" s="394">
        <f t="shared" si="1075"/>
        <v>1.0368101805030596</v>
      </c>
      <c r="V662" s="395" t="str">
        <f t="shared" si="1076"/>
        <v>No</v>
      </c>
      <c r="W662" s="396">
        <f t="shared" si="1077"/>
        <v>0</v>
      </c>
      <c r="X662" s="394">
        <f>SUM($W$478:W662)/COUNT($W$478:W662)</f>
        <v>0.54054054054054057</v>
      </c>
    </row>
    <row r="663" spans="1:24" x14ac:dyDescent="0.15">
      <c r="A663" s="384">
        <f t="shared" si="1005"/>
        <v>661</v>
      </c>
      <c r="B663" s="401">
        <f t="shared" si="1078"/>
        <v>42453</v>
      </c>
      <c r="D663" s="390">
        <v>67491.638579999999</v>
      </c>
      <c r="E663" s="387">
        <v>67491.638579999999</v>
      </c>
      <c r="F663" s="387">
        <f t="shared" si="1066"/>
        <v>-855.36817999999039</v>
      </c>
      <c r="G663" s="388">
        <f t="shared" si="1067"/>
        <v>-1.2515078868100438E-2</v>
      </c>
      <c r="H663" s="387">
        <f t="shared" si="1068"/>
        <v>44635.78858</v>
      </c>
      <c r="I663" s="388">
        <f t="shared" si="1069"/>
        <v>1.9529262127639098</v>
      </c>
      <c r="L663" s="369">
        <v>2035.98</v>
      </c>
      <c r="M663" s="394">
        <f t="shared" si="1070"/>
        <v>-2.259150539794863E-3</v>
      </c>
      <c r="N663" s="394">
        <f t="shared" si="1071"/>
        <v>1.1890375021503528</v>
      </c>
      <c r="O663" s="395" t="str">
        <f t="shared" si="1072"/>
        <v>No</v>
      </c>
      <c r="P663" s="396">
        <f t="shared" si="1073"/>
        <v>0</v>
      </c>
      <c r="Q663" s="394">
        <f>SUM($P$4:P663)/COUNT($P$4:P663)</f>
        <v>0.53636363636363638</v>
      </c>
      <c r="S663" s="369">
        <v>17516.73</v>
      </c>
      <c r="T663" s="394">
        <f t="shared" si="1074"/>
        <v>2.0273103415135996E-3</v>
      </c>
      <c r="U663" s="394">
        <f t="shared" si="1075"/>
        <v>1.0409394268456937</v>
      </c>
      <c r="V663" s="395" t="str">
        <f t="shared" si="1076"/>
        <v>No</v>
      </c>
      <c r="W663" s="396">
        <f t="shared" si="1077"/>
        <v>0</v>
      </c>
      <c r="X663" s="394">
        <f>SUM($W$478:W663)/COUNT($W$478:W663)</f>
        <v>0.5376344086021505</v>
      </c>
    </row>
    <row r="664" spans="1:24" x14ac:dyDescent="0.15">
      <c r="A664" s="384">
        <f t="shared" si="1005"/>
        <v>662</v>
      </c>
      <c r="B664" s="401">
        <f t="shared" si="1078"/>
        <v>42460</v>
      </c>
      <c r="D664" s="390">
        <v>67993.540599999993</v>
      </c>
      <c r="E664" s="387">
        <v>67993.540599999993</v>
      </c>
      <c r="F664" s="387">
        <f t="shared" si="1066"/>
        <v>501.90201999999408</v>
      </c>
      <c r="G664" s="388">
        <f t="shared" si="1067"/>
        <v>7.4365066630450727E-3</v>
      </c>
      <c r="H664" s="387">
        <f t="shared" si="1068"/>
        <v>45137.690599999994</v>
      </c>
      <c r="I664" s="388">
        <f t="shared" si="1069"/>
        <v>1.9748856682206086</v>
      </c>
      <c r="L664" s="369">
        <v>2059.7399999999998</v>
      </c>
      <c r="M664" s="394">
        <f t="shared" si="1070"/>
        <v>1.1670055697992954E-2</v>
      </c>
      <c r="N664" s="394">
        <f t="shared" si="1071"/>
        <v>1.2145836917254424</v>
      </c>
      <c r="O664" s="395" t="str">
        <f t="shared" si="1072"/>
        <v>No</v>
      </c>
      <c r="P664" s="396">
        <f t="shared" si="1073"/>
        <v>0</v>
      </c>
      <c r="Q664" s="394">
        <f>SUM($P$4:P664)/COUNT($P$4:P664)</f>
        <v>0.53555219364599094</v>
      </c>
      <c r="S664" s="369">
        <v>17685.09</v>
      </c>
      <c r="T664" s="394">
        <f t="shared" si="1074"/>
        <v>9.611382946474567E-3</v>
      </c>
      <c r="U664" s="394">
        <f t="shared" si="1075"/>
        <v>1.0605556772476663</v>
      </c>
      <c r="V664" s="395" t="str">
        <f t="shared" si="1076"/>
        <v>No</v>
      </c>
      <c r="W664" s="396">
        <f t="shared" si="1077"/>
        <v>0</v>
      </c>
      <c r="X664" s="394">
        <f>SUM($W$478:W664)/COUNT($W$478:W664)</f>
        <v>0.53475935828877008</v>
      </c>
    </row>
    <row r="665" spans="1:24" x14ac:dyDescent="0.15">
      <c r="A665" s="384">
        <f t="shared" si="1005"/>
        <v>663</v>
      </c>
      <c r="B665" s="401">
        <f t="shared" si="1078"/>
        <v>42467</v>
      </c>
      <c r="D665" s="390">
        <v>67186.083600000013</v>
      </c>
      <c r="E665" s="387">
        <v>67186.083600000013</v>
      </c>
      <c r="F665" s="387">
        <f t="shared" si="1066"/>
        <v>-807.45699999998033</v>
      </c>
      <c r="G665" s="388">
        <f t="shared" si="1067"/>
        <v>-1.1875495714367634E-2</v>
      </c>
      <c r="H665" s="387">
        <f t="shared" si="1068"/>
        <v>44330.233600000014</v>
      </c>
      <c r="I665" s="388">
        <f t="shared" si="1069"/>
        <v>1.9395574262169211</v>
      </c>
      <c r="L665" s="369">
        <v>2041.91</v>
      </c>
      <c r="M665" s="394">
        <f t="shared" si="1070"/>
        <v>-8.6564323652498221E-3</v>
      </c>
      <c r="N665" s="394">
        <f t="shared" si="1071"/>
        <v>1.1954132977808363</v>
      </c>
      <c r="O665" s="395" t="str">
        <f t="shared" si="1072"/>
        <v>No</v>
      </c>
      <c r="P665" s="396">
        <f t="shared" si="1073"/>
        <v>0</v>
      </c>
      <c r="Q665" s="394">
        <f>SUM($P$4:P665)/COUNT($P$4:P665)</f>
        <v>0.53474320241691842</v>
      </c>
      <c r="S665" s="369">
        <v>17541.96</v>
      </c>
      <c r="T665" s="394">
        <f t="shared" si="1074"/>
        <v>-8.0932582192118074E-3</v>
      </c>
      <c r="U665" s="394">
        <f t="shared" si="1075"/>
        <v>1.0438790680766381</v>
      </c>
      <c r="V665" s="395" t="str">
        <f t="shared" si="1076"/>
        <v>No</v>
      </c>
      <c r="W665" s="396">
        <f t="shared" si="1077"/>
        <v>0</v>
      </c>
      <c r="X665" s="394">
        <f>SUM($W$478:W665)/COUNT($W$478:W665)</f>
        <v>0.53191489361702127</v>
      </c>
    </row>
    <row r="666" spans="1:24" x14ac:dyDescent="0.15">
      <c r="A666" s="384">
        <f t="shared" si="1005"/>
        <v>664</v>
      </c>
      <c r="B666" s="401">
        <f t="shared" si="1078"/>
        <v>42474</v>
      </c>
      <c r="D666" s="390">
        <v>67608.944400000008</v>
      </c>
      <c r="E666" s="387">
        <v>67608.944400000008</v>
      </c>
      <c r="F666" s="387">
        <f t="shared" si="1066"/>
        <v>422.86079999999492</v>
      </c>
      <c r="G666" s="388">
        <f t="shared" si="1067"/>
        <v>6.2938748226126773E-3</v>
      </c>
      <c r="H666" s="387">
        <f t="shared" si="1068"/>
        <v>44753.094400000009</v>
      </c>
      <c r="I666" s="388">
        <f t="shared" si="1069"/>
        <v>1.958058632691412</v>
      </c>
      <c r="L666" s="369">
        <v>2082.54</v>
      </c>
      <c r="M666" s="394">
        <f t="shared" si="1070"/>
        <v>1.9898036642163497E-2</v>
      </c>
      <c r="N666" s="394">
        <f t="shared" si="1071"/>
        <v>1.2390977120247721</v>
      </c>
      <c r="O666" s="395" t="str">
        <f t="shared" si="1072"/>
        <v>No</v>
      </c>
      <c r="P666" s="396">
        <f t="shared" si="1073"/>
        <v>0</v>
      </c>
      <c r="Q666" s="394">
        <f>SUM($P$4:P666)/COUNT($P$4:P666)</f>
        <v>0.5339366515837104</v>
      </c>
      <c r="S666" s="369">
        <v>17894.310000000001</v>
      </c>
      <c r="T666" s="394">
        <f t="shared" si="1074"/>
        <v>2.0086124925607018E-2</v>
      </c>
      <c r="U666" s="394">
        <f t="shared" si="1075"/>
        <v>1.0849326783708584</v>
      </c>
      <c r="V666" s="395" t="str">
        <f t="shared" si="1076"/>
        <v>No</v>
      </c>
      <c r="W666" s="396">
        <f t="shared" si="1077"/>
        <v>0</v>
      </c>
      <c r="X666" s="394">
        <f>SUM($W$478:W666)/COUNT($W$478:W666)</f>
        <v>0.52910052910052907</v>
      </c>
    </row>
    <row r="667" spans="1:24" x14ac:dyDescent="0.15">
      <c r="A667" s="384">
        <f t="shared" si="1005"/>
        <v>665</v>
      </c>
      <c r="B667" s="401">
        <f t="shared" si="1078"/>
        <v>42481</v>
      </c>
      <c r="D667" s="390">
        <v>67607.602039999998</v>
      </c>
      <c r="E667" s="387">
        <v>67607.602039999998</v>
      </c>
      <c r="F667" s="387">
        <f t="shared" si="1066"/>
        <v>-1.3423600000096485</v>
      </c>
      <c r="G667" s="388">
        <f t="shared" si="1067"/>
        <v>-1.985476939359021E-5</v>
      </c>
      <c r="H667" s="387">
        <f t="shared" si="1068"/>
        <v>44751.752039999999</v>
      </c>
      <c r="I667" s="388">
        <f t="shared" si="1069"/>
        <v>1.9579999011194071</v>
      </c>
      <c r="L667" s="369">
        <v>2091.48</v>
      </c>
      <c r="M667" s="394">
        <f t="shared" si="1070"/>
        <v>4.2928347114581378E-3</v>
      </c>
      <c r="N667" s="394">
        <f t="shared" si="1071"/>
        <v>1.2487097884052982</v>
      </c>
      <c r="O667" s="395" t="str">
        <f t="shared" si="1072"/>
        <v>No</v>
      </c>
      <c r="P667" s="396">
        <f t="shared" si="1073"/>
        <v>0</v>
      </c>
      <c r="Q667" s="394">
        <f>SUM($P$4:P667)/COUNT($P$4:P667)</f>
        <v>0.5331325301204819</v>
      </c>
      <c r="S667" s="369">
        <v>17982.52</v>
      </c>
      <c r="T667" s="394">
        <f t="shared" si="1074"/>
        <v>4.9294999360132152E-3</v>
      </c>
      <c r="U667" s="394">
        <f t="shared" si="1075"/>
        <v>1.0952103538754794</v>
      </c>
      <c r="V667" s="395" t="str">
        <f t="shared" si="1076"/>
        <v>No</v>
      </c>
      <c r="W667" s="396">
        <f t="shared" si="1077"/>
        <v>0</v>
      </c>
      <c r="X667" s="394">
        <f>SUM($W$478:W667)/COUNT($W$478:W667)</f>
        <v>0.52631578947368418</v>
      </c>
    </row>
    <row r="668" spans="1:24" x14ac:dyDescent="0.15">
      <c r="A668" s="384">
        <f t="shared" si="1005"/>
        <v>666</v>
      </c>
      <c r="B668" s="401">
        <f t="shared" si="1078"/>
        <v>42488</v>
      </c>
      <c r="D668" s="390">
        <v>67469.601839999988</v>
      </c>
      <c r="E668" s="387">
        <v>67469.601839999988</v>
      </c>
      <c r="F668" s="387">
        <f t="shared" si="1066"/>
        <v>-138.0002000000095</v>
      </c>
      <c r="G668" s="388">
        <f t="shared" si="1067"/>
        <v>-2.0411935320285846E-3</v>
      </c>
      <c r="H668" s="387">
        <f t="shared" si="1068"/>
        <v>44613.75183999999</v>
      </c>
      <c r="I668" s="388">
        <f t="shared" si="1069"/>
        <v>1.9519620508535009</v>
      </c>
      <c r="L668" s="369">
        <v>2075.81</v>
      </c>
      <c r="M668" s="394">
        <f t="shared" si="1070"/>
        <v>-7.4923021018609148E-3</v>
      </c>
      <c r="N668" s="394">
        <f t="shared" si="1071"/>
        <v>1.2318617753311543</v>
      </c>
      <c r="O668" s="395" t="str">
        <f t="shared" si="1072"/>
        <v>Yes</v>
      </c>
      <c r="P668" s="396">
        <f t="shared" si="1073"/>
        <v>1</v>
      </c>
      <c r="Q668" s="394">
        <f>SUM($P$4:P668)/COUNT($P$4:P668)</f>
        <v>0.53383458646616544</v>
      </c>
      <c r="S668" s="369">
        <v>17830.759999999998</v>
      </c>
      <c r="T668" s="394">
        <f t="shared" si="1074"/>
        <v>-8.4393066155356022E-3</v>
      </c>
      <c r="U668" s="394">
        <f t="shared" si="1075"/>
        <v>1.0775282312750791</v>
      </c>
      <c r="V668" s="395" t="str">
        <f t="shared" si="1076"/>
        <v>Yes</v>
      </c>
      <c r="W668" s="396">
        <f t="shared" si="1077"/>
        <v>1</v>
      </c>
      <c r="X668" s="394">
        <f>SUM($W$478:W668)/COUNT($W$478:W668)</f>
        <v>0.52879581151832455</v>
      </c>
    </row>
    <row r="669" spans="1:24" x14ac:dyDescent="0.15">
      <c r="A669" s="384">
        <f t="shared" si="1005"/>
        <v>667</v>
      </c>
      <c r="B669" s="401">
        <f t="shared" si="1078"/>
        <v>42495</v>
      </c>
      <c r="D669" s="390">
        <v>66607.853820000018</v>
      </c>
      <c r="E669" s="387">
        <v>66607.853820000018</v>
      </c>
      <c r="F669" s="387">
        <f t="shared" si="1066"/>
        <v>-861.74801999996998</v>
      </c>
      <c r="G669" s="388">
        <f t="shared" si="1067"/>
        <v>-1.277238929086244E-2</v>
      </c>
      <c r="H669" s="387">
        <f t="shared" si="1068"/>
        <v>43752.00382000002</v>
      </c>
      <c r="I669" s="388">
        <f t="shared" si="1069"/>
        <v>1.9142584423681472</v>
      </c>
      <c r="L669" s="369">
        <v>2050.63</v>
      </c>
      <c r="M669" s="394">
        <f t="shared" si="1070"/>
        <v>-1.2130204594832827E-2</v>
      </c>
      <c r="N669" s="394">
        <f t="shared" si="1071"/>
        <v>1.2047888353690004</v>
      </c>
      <c r="O669" s="395" t="str">
        <f t="shared" si="1072"/>
        <v>No</v>
      </c>
      <c r="P669" s="396">
        <f t="shared" si="1073"/>
        <v>0</v>
      </c>
      <c r="Q669" s="394">
        <f>SUM($P$4:P669)/COUNT($P$4:P669)</f>
        <v>0.53303303303303307</v>
      </c>
      <c r="S669" s="369">
        <v>17660.71</v>
      </c>
      <c r="T669" s="394">
        <f t="shared" si="1074"/>
        <v>-9.536890183031943E-3</v>
      </c>
      <c r="U669" s="394">
        <f t="shared" si="1075"/>
        <v>1.0577150726812601</v>
      </c>
      <c r="V669" s="395" t="str">
        <f t="shared" si="1076"/>
        <v>No</v>
      </c>
      <c r="W669" s="396">
        <f t="shared" si="1077"/>
        <v>0</v>
      </c>
      <c r="X669" s="394">
        <f>SUM($W$478:W669)/COUNT($W$478:W669)</f>
        <v>0.52604166666666663</v>
      </c>
    </row>
    <row r="670" spans="1:24" x14ac:dyDescent="0.15">
      <c r="A670" s="384">
        <f t="shared" si="1005"/>
        <v>668</v>
      </c>
      <c r="B670" s="401">
        <f t="shared" si="1078"/>
        <v>42502</v>
      </c>
      <c r="D670" s="390">
        <v>66578.210160000002</v>
      </c>
      <c r="E670" s="387">
        <v>66578.210160000002</v>
      </c>
      <c r="F670" s="387">
        <f t="shared" si="1066"/>
        <v>-29.643660000016098</v>
      </c>
      <c r="G670" s="388">
        <f t="shared" si="1067"/>
        <v>-4.4504751767149298E-4</v>
      </c>
      <c r="H670" s="387">
        <f t="shared" si="1068"/>
        <v>43722.360160000004</v>
      </c>
      <c r="I670" s="388">
        <f t="shared" si="1069"/>
        <v>1.9129614588825183</v>
      </c>
      <c r="L670" s="369">
        <v>2064.11</v>
      </c>
      <c r="M670" s="394">
        <f t="shared" si="1070"/>
        <v>6.5735895797875976E-3</v>
      </c>
      <c r="N670" s="394">
        <f t="shared" si="1071"/>
        <v>1.2192822122828146</v>
      </c>
      <c r="O670" s="395" t="str">
        <f t="shared" si="1072"/>
        <v>No</v>
      </c>
      <c r="P670" s="396">
        <f t="shared" si="1073"/>
        <v>0</v>
      </c>
      <c r="Q670" s="394">
        <f>SUM($P$4:P670)/COUNT($P$4:P670)</f>
        <v>0.53223388305847075</v>
      </c>
      <c r="S670" s="369">
        <v>17720.5</v>
      </c>
      <c r="T670" s="394">
        <f t="shared" si="1074"/>
        <v>3.3854811046667432E-3</v>
      </c>
      <c r="U670" s="394">
        <f t="shared" si="1075"/>
        <v>1.064681428178611</v>
      </c>
      <c r="V670" s="395" t="str">
        <f t="shared" si="1076"/>
        <v>No</v>
      </c>
      <c r="W670" s="396">
        <f t="shared" si="1077"/>
        <v>0</v>
      </c>
      <c r="X670" s="394">
        <f>SUM($W$478:W670)/COUNT($W$478:W670)</f>
        <v>0.52331606217616577</v>
      </c>
    </row>
    <row r="671" spans="1:24" x14ac:dyDescent="0.15">
      <c r="A671" s="384">
        <f t="shared" si="1005"/>
        <v>669</v>
      </c>
      <c r="B671" s="401">
        <f t="shared" si="1078"/>
        <v>42509</v>
      </c>
      <c r="D671" s="390">
        <v>66048.957220000011</v>
      </c>
      <c r="E671" s="387">
        <v>66048.957220000011</v>
      </c>
      <c r="F671" s="387">
        <f t="shared" si="1066"/>
        <v>-529.25293999999121</v>
      </c>
      <c r="G671" s="388">
        <f t="shared" si="1067"/>
        <v>-7.9493416649095705E-3</v>
      </c>
      <c r="H671" s="387">
        <f t="shared" si="1068"/>
        <v>43193.107220000013</v>
      </c>
      <c r="I671" s="388">
        <f t="shared" si="1069"/>
        <v>1.8898053329891478</v>
      </c>
      <c r="L671" s="369">
        <v>2040.04</v>
      </c>
      <c r="M671" s="394">
        <f t="shared" si="1070"/>
        <v>-1.1661200226732227E-2</v>
      </c>
      <c r="N671" s="394">
        <f t="shared" si="1071"/>
        <v>1.1934027180457591</v>
      </c>
      <c r="O671" s="395" t="str">
        <f t="shared" si="1072"/>
        <v>Yes</v>
      </c>
      <c r="P671" s="396">
        <f t="shared" si="1073"/>
        <v>1</v>
      </c>
      <c r="Q671" s="394">
        <f>SUM($P$4:P671)/COUNT($P$4:P671)</f>
        <v>0.53293413173652693</v>
      </c>
      <c r="S671" s="369">
        <v>17435.400000000001</v>
      </c>
      <c r="T671" s="394">
        <f t="shared" si="1074"/>
        <v>-1.6088710815157503E-2</v>
      </c>
      <c r="U671" s="394">
        <f t="shared" si="1075"/>
        <v>1.0314633657552186</v>
      </c>
      <c r="V671" s="395" t="str">
        <f t="shared" si="1076"/>
        <v>Yes</v>
      </c>
      <c r="W671" s="396">
        <f t="shared" si="1077"/>
        <v>1</v>
      </c>
      <c r="X671" s="394">
        <f>SUM($W$478:W671)/COUNT($W$478:W671)</f>
        <v>0.52577319587628868</v>
      </c>
    </row>
    <row r="672" spans="1:24" x14ac:dyDescent="0.15">
      <c r="A672" s="384">
        <f t="shared" si="1005"/>
        <v>670</v>
      </c>
      <c r="B672" s="401">
        <f t="shared" si="1078"/>
        <v>42516</v>
      </c>
      <c r="D672" s="390">
        <v>66956.230279999989</v>
      </c>
      <c r="E672" s="387">
        <v>66956.230279999989</v>
      </c>
      <c r="F672" s="387">
        <f t="shared" si="1066"/>
        <v>907.2730599999777</v>
      </c>
      <c r="G672" s="388">
        <f t="shared" si="1067"/>
        <v>1.3736372203091429E-2</v>
      </c>
      <c r="H672" s="387">
        <f t="shared" si="1068"/>
        <v>44100.38027999999</v>
      </c>
      <c r="I672" s="388">
        <f t="shared" si="1069"/>
        <v>1.9295007746375652</v>
      </c>
      <c r="L672" s="369">
        <v>2090.1</v>
      </c>
      <c r="M672" s="394">
        <f t="shared" si="1070"/>
        <v>2.4538734534616857E-2</v>
      </c>
      <c r="N672" s="394">
        <f t="shared" si="1071"/>
        <v>1.2472260450713915</v>
      </c>
      <c r="O672" s="395" t="str">
        <f t="shared" si="1072"/>
        <v>No</v>
      </c>
      <c r="P672" s="396">
        <f t="shared" si="1073"/>
        <v>0</v>
      </c>
      <c r="Q672" s="394">
        <f>SUM($P$4:P672)/COUNT($P$4:P672)</f>
        <v>0.53213751868460391</v>
      </c>
      <c r="S672" s="369">
        <v>17828.29</v>
      </c>
      <c r="T672" s="394">
        <f t="shared" si="1074"/>
        <v>2.2534039941727757E-2</v>
      </c>
      <c r="U672" s="394">
        <f t="shared" si="1075"/>
        <v>1.0772404423793036</v>
      </c>
      <c r="V672" s="395" t="str">
        <f t="shared" si="1076"/>
        <v>No</v>
      </c>
      <c r="W672" s="396">
        <f t="shared" si="1077"/>
        <v>0</v>
      </c>
      <c r="X672" s="394">
        <f>SUM($W$478:W672)/COUNT($W$478:W672)</f>
        <v>0.52307692307692311</v>
      </c>
    </row>
    <row r="673" spans="1:24" x14ac:dyDescent="0.15">
      <c r="A673" s="384">
        <f t="shared" si="1005"/>
        <v>671</v>
      </c>
      <c r="B673" s="401">
        <f t="shared" si="1078"/>
        <v>42523</v>
      </c>
      <c r="D673" s="390">
        <v>66746.788060000006</v>
      </c>
      <c r="E673" s="387">
        <v>66746.788060000006</v>
      </c>
      <c r="F673" s="387">
        <f t="shared" si="1066"/>
        <v>-209.44221999998263</v>
      </c>
      <c r="G673" s="388">
        <f t="shared" si="1067"/>
        <v>-3.1280467721096494E-3</v>
      </c>
      <c r="H673" s="387">
        <f t="shared" si="1068"/>
        <v>43890.938060000008</v>
      </c>
      <c r="I673" s="388">
        <f t="shared" si="1069"/>
        <v>1.9203371591955674</v>
      </c>
      <c r="L673" s="369">
        <v>2105.2600000000002</v>
      </c>
      <c r="M673" s="394">
        <f t="shared" si="1070"/>
        <v>7.2532414717001448E-3</v>
      </c>
      <c r="N673" s="394">
        <f t="shared" si="1071"/>
        <v>1.2635257182177879</v>
      </c>
      <c r="O673" s="395" t="str">
        <f t="shared" si="1072"/>
        <v>No</v>
      </c>
      <c r="P673" s="396">
        <f t="shared" si="1073"/>
        <v>0</v>
      </c>
      <c r="Q673" s="394">
        <f>SUM($P$4:P673)/COUNT($P$4:P673)</f>
        <v>0.5313432835820896</v>
      </c>
      <c r="S673" s="369">
        <v>17838.560000000001</v>
      </c>
      <c r="T673" s="394">
        <f t="shared" si="1074"/>
        <v>5.7605075977562592E-4</v>
      </c>
      <c r="U673" s="394">
        <f t="shared" si="1075"/>
        <v>1.0784370383143727</v>
      </c>
      <c r="V673" s="395" t="str">
        <f t="shared" si="1076"/>
        <v>No</v>
      </c>
      <c r="W673" s="396">
        <f t="shared" si="1077"/>
        <v>0</v>
      </c>
      <c r="X673" s="394">
        <f>SUM($W$478:W673)/COUNT($W$478:W673)</f>
        <v>0.52040816326530615</v>
      </c>
    </row>
    <row r="674" spans="1:24" x14ac:dyDescent="0.15">
      <c r="A674" s="384">
        <f t="shared" si="1005"/>
        <v>672</v>
      </c>
      <c r="B674" s="401">
        <f t="shared" si="1078"/>
        <v>42530</v>
      </c>
      <c r="D674" s="390">
        <v>66450.907460000002</v>
      </c>
      <c r="E674" s="387">
        <v>66450.907460000002</v>
      </c>
      <c r="F674" s="387">
        <f t="shared" si="1066"/>
        <v>-295.88060000000405</v>
      </c>
      <c r="G674" s="388">
        <f t="shared" si="1067"/>
        <v>-4.4328814704016617E-3</v>
      </c>
      <c r="H674" s="387">
        <f t="shared" si="1068"/>
        <v>43595.057460000004</v>
      </c>
      <c r="I674" s="388">
        <f t="shared" si="1069"/>
        <v>1.907391650715244</v>
      </c>
      <c r="L674" s="369">
        <v>2115.48</v>
      </c>
      <c r="M674" s="394">
        <f t="shared" si="1070"/>
        <v>4.8545072817607338E-3</v>
      </c>
      <c r="N674" s="394">
        <f t="shared" si="1071"/>
        <v>1.2745140202993288</v>
      </c>
      <c r="O674" s="395" t="str">
        <f t="shared" si="1072"/>
        <v>No</v>
      </c>
      <c r="P674" s="396">
        <f t="shared" si="1073"/>
        <v>0</v>
      </c>
      <c r="Q674" s="394">
        <f>SUM($P$4:P674)/COUNT($P$4:P674)</f>
        <v>0.53055141579731746</v>
      </c>
      <c r="S674" s="369">
        <v>17985.189999999999</v>
      </c>
      <c r="T674" s="394">
        <f t="shared" si="1074"/>
        <v>8.2198338879369004E-3</v>
      </c>
      <c r="U674" s="394">
        <f t="shared" si="1075"/>
        <v>1.0955214455158528</v>
      </c>
      <c r="V674" s="395" t="str">
        <f t="shared" si="1076"/>
        <v>No</v>
      </c>
      <c r="W674" s="396">
        <f t="shared" si="1077"/>
        <v>0</v>
      </c>
      <c r="X674" s="394">
        <f>SUM($W$478:W674)/COUNT($W$478:W674)</f>
        <v>0.51776649746192893</v>
      </c>
    </row>
    <row r="675" spans="1:24" x14ac:dyDescent="0.15">
      <c r="A675" s="384">
        <f t="shared" si="1005"/>
        <v>673</v>
      </c>
      <c r="B675" s="401">
        <f t="shared" si="1078"/>
        <v>42537</v>
      </c>
      <c r="D675" s="390">
        <v>65737.518160000007</v>
      </c>
      <c r="E675" s="387">
        <v>65737.518160000007</v>
      </c>
      <c r="F675" s="387">
        <f t="shared" si="1066"/>
        <v>-713.38929999999527</v>
      </c>
      <c r="G675" s="388">
        <f t="shared" si="1067"/>
        <v>-1.0735584016356992E-2</v>
      </c>
      <c r="H675" s="387">
        <f t="shared" si="1068"/>
        <v>42881.668160000008</v>
      </c>
      <c r="I675" s="388">
        <f t="shared" si="1069"/>
        <v>1.8761791033805353</v>
      </c>
      <c r="L675" s="369">
        <v>2077.9899999999998</v>
      </c>
      <c r="M675" s="394">
        <f t="shared" ref="M675:M706" si="1079">L675/L674-1</f>
        <v>-1.7721746364891322E-2</v>
      </c>
      <c r="N675" s="394">
        <f t="shared" si="1071"/>
        <v>1.234205659728195</v>
      </c>
      <c r="O675" s="395" t="str">
        <f t="shared" ref="O675:O706" si="1080">IF(G675&gt;M675,"Yes","No")</f>
        <v>Yes</v>
      </c>
      <c r="P675" s="396">
        <f t="shared" si="1073"/>
        <v>1</v>
      </c>
      <c r="Q675" s="394">
        <f>SUM($P$4:P675)/COUNT($P$4:P675)</f>
        <v>0.53125</v>
      </c>
      <c r="S675" s="369">
        <v>17733.099999999999</v>
      </c>
      <c r="T675" s="394">
        <f t="shared" si="1074"/>
        <v>-1.4016532491455513E-2</v>
      </c>
      <c r="U675" s="394">
        <f t="shared" si="1075"/>
        <v>1.0661495010882378</v>
      </c>
      <c r="V675" s="395" t="str">
        <f t="shared" si="1076"/>
        <v>Yes</v>
      </c>
      <c r="W675" s="396">
        <f t="shared" si="1077"/>
        <v>1</v>
      </c>
      <c r="X675" s="394">
        <f>SUM($W$478:W675)/COUNT($W$478:W675)</f>
        <v>0.52020202020202022</v>
      </c>
    </row>
    <row r="676" spans="1:24" x14ac:dyDescent="0.15">
      <c r="A676" s="384">
        <f t="shared" si="1005"/>
        <v>674</v>
      </c>
      <c r="B676" s="401">
        <f t="shared" si="1078"/>
        <v>42544</v>
      </c>
      <c r="D676" s="390">
        <v>66557.505559999991</v>
      </c>
      <c r="E676" s="387">
        <v>66557.505559999991</v>
      </c>
      <c r="F676" s="387">
        <f t="shared" si="1066"/>
        <v>819.98739999998361</v>
      </c>
      <c r="G676" s="388">
        <f t="shared" si="1067"/>
        <v>1.2473659227660416E-2</v>
      </c>
      <c r="H676" s="387">
        <f t="shared" si="1068"/>
        <v>43701.655559999992</v>
      </c>
      <c r="I676" s="388">
        <f t="shared" si="1069"/>
        <v>1.9120555813938225</v>
      </c>
      <c r="L676" s="369">
        <v>2113.3200000000002</v>
      </c>
      <c r="M676" s="394">
        <f t="shared" si="1079"/>
        <v>1.7002006746904552E-2</v>
      </c>
      <c r="N676" s="394">
        <f t="shared" si="1071"/>
        <v>1.2721916394288666</v>
      </c>
      <c r="O676" s="395" t="str">
        <f t="shared" si="1080"/>
        <v>No</v>
      </c>
      <c r="P676" s="396">
        <f t="shared" si="1073"/>
        <v>0</v>
      </c>
      <c r="Q676" s="394">
        <f>SUM($P$4:P676)/COUNT($P$4:P676)</f>
        <v>0.53046062407132244</v>
      </c>
      <c r="S676" s="369">
        <v>18011.07</v>
      </c>
      <c r="T676" s="394">
        <f t="shared" si="1074"/>
        <v>1.5675206252713902E-2</v>
      </c>
      <c r="U676" s="394">
        <f t="shared" si="1075"/>
        <v>1.0985368206667379</v>
      </c>
      <c r="V676" s="395" t="str">
        <f t="shared" si="1076"/>
        <v>No</v>
      </c>
      <c r="W676" s="396">
        <f t="shared" si="1077"/>
        <v>0</v>
      </c>
      <c r="X676" s="394">
        <f>SUM($W$478:W676)/COUNT($W$478:W676)</f>
        <v>0.51758793969849248</v>
      </c>
    </row>
    <row r="677" spans="1:24" x14ac:dyDescent="0.15">
      <c r="A677" s="384">
        <f t="shared" si="1005"/>
        <v>675</v>
      </c>
      <c r="B677" s="401">
        <f t="shared" si="1078"/>
        <v>42551</v>
      </c>
      <c r="D677" s="390">
        <v>66679.961040000009</v>
      </c>
      <c r="E677" s="387">
        <v>66679.961040000009</v>
      </c>
      <c r="F677" s="387">
        <f t="shared" si="1066"/>
        <v>122.45548000001872</v>
      </c>
      <c r="G677" s="388">
        <f t="shared" si="1067"/>
        <v>1.8398447924048433E-3</v>
      </c>
      <c r="H677" s="387">
        <f t="shared" si="1068"/>
        <v>43824.111040000011</v>
      </c>
      <c r="I677" s="388">
        <f t="shared" si="1069"/>
        <v>1.917413311690443</v>
      </c>
      <c r="L677" s="369">
        <v>2098.86</v>
      </c>
      <c r="M677" s="394">
        <f t="shared" si="1079"/>
        <v>-6.8423144625517907E-3</v>
      </c>
      <c r="N677" s="394">
        <f t="shared" si="1071"/>
        <v>1.256644589712713</v>
      </c>
      <c r="O677" s="395" t="str">
        <f t="shared" si="1080"/>
        <v>Yes</v>
      </c>
      <c r="P677" s="396">
        <f t="shared" si="1073"/>
        <v>1</v>
      </c>
      <c r="Q677" s="394">
        <f>SUM($P$4:P677)/COUNT($P$4:P677)</f>
        <v>0.53115727002967361</v>
      </c>
      <c r="S677" s="369">
        <v>17694.68</v>
      </c>
      <c r="T677" s="394">
        <f t="shared" si="1074"/>
        <v>-1.7566418874614298E-2</v>
      </c>
      <c r="U677" s="394">
        <f t="shared" si="1075"/>
        <v>1.0616730438511048</v>
      </c>
      <c r="V677" s="395" t="str">
        <f t="shared" si="1076"/>
        <v>Yes</v>
      </c>
      <c r="W677" s="396">
        <f t="shared" si="1077"/>
        <v>1</v>
      </c>
      <c r="X677" s="394">
        <f>SUM($W$478:W677)/COUNT($W$478:W677)</f>
        <v>0.52</v>
      </c>
    </row>
    <row r="678" spans="1:24" x14ac:dyDescent="0.15">
      <c r="A678" s="384">
        <f t="shared" si="1005"/>
        <v>676</v>
      </c>
      <c r="B678" s="401">
        <f t="shared" si="1078"/>
        <v>42558</v>
      </c>
      <c r="D678" s="390">
        <v>66523.892460000003</v>
      </c>
      <c r="E678" s="387">
        <v>66523.892460000003</v>
      </c>
      <c r="F678" s="387">
        <f t="shared" si="1066"/>
        <v>-156.06858000000648</v>
      </c>
      <c r="G678" s="388">
        <f t="shared" si="1067"/>
        <v>-2.3405619554334178E-3</v>
      </c>
      <c r="H678" s="387">
        <f t="shared" si="1068"/>
        <v>43668.042460000004</v>
      </c>
      <c r="I678" s="388">
        <f t="shared" si="1069"/>
        <v>1.9105849250848252</v>
      </c>
      <c r="L678" s="369">
        <v>2097.9</v>
      </c>
      <c r="M678" s="394">
        <f t="shared" si="1079"/>
        <v>-4.573911551986054E-4</v>
      </c>
      <c r="N678" s="394">
        <f t="shared" si="1071"/>
        <v>1.2556124204369516</v>
      </c>
      <c r="O678" s="395" t="str">
        <f t="shared" si="1080"/>
        <v>No</v>
      </c>
      <c r="P678" s="396">
        <f t="shared" si="1073"/>
        <v>0</v>
      </c>
      <c r="Q678" s="394">
        <f>SUM($P$4:P678)/COUNT($P$4:P678)</f>
        <v>0.53037037037037038</v>
      </c>
      <c r="S678" s="369">
        <v>17918.62</v>
      </c>
      <c r="T678" s="394">
        <f t="shared" si="1074"/>
        <v>1.2655781285674461E-2</v>
      </c>
      <c r="U678" s="394">
        <f t="shared" si="1075"/>
        <v>1.0877651269766551</v>
      </c>
      <c r="V678" s="395" t="str">
        <f t="shared" si="1076"/>
        <v>No</v>
      </c>
      <c r="W678" s="396">
        <f t="shared" si="1077"/>
        <v>0</v>
      </c>
      <c r="X678" s="394">
        <f>SUM($W$478:W678)/COUNT($W$478:W678)</f>
        <v>0.51741293532338306</v>
      </c>
    </row>
    <row r="679" spans="1:24" x14ac:dyDescent="0.15">
      <c r="A679" s="384">
        <f t="shared" si="1005"/>
        <v>677</v>
      </c>
      <c r="B679" s="401">
        <f t="shared" si="1078"/>
        <v>42565</v>
      </c>
      <c r="D679" s="390">
        <v>67908.847580000001</v>
      </c>
      <c r="E679" s="387">
        <v>67908.847580000001</v>
      </c>
      <c r="F679" s="387">
        <f t="shared" si="1066"/>
        <v>1384.9551199999987</v>
      </c>
      <c r="G679" s="388">
        <f t="shared" si="1067"/>
        <v>2.0818912856501282E-2</v>
      </c>
      <c r="H679" s="387">
        <f t="shared" si="1068"/>
        <v>45052.997580000003</v>
      </c>
      <c r="I679" s="388">
        <f t="shared" si="1069"/>
        <v>1.9711801390016124</v>
      </c>
      <c r="L679" s="369">
        <v>2163.75</v>
      </c>
      <c r="M679" s="394">
        <f t="shared" si="1079"/>
        <v>3.1388531388531371E-2</v>
      </c>
      <c r="N679" s="394">
        <f t="shared" si="1071"/>
        <v>1.3264127816961979</v>
      </c>
      <c r="O679" s="395" t="str">
        <f t="shared" si="1080"/>
        <v>No</v>
      </c>
      <c r="P679" s="396">
        <f t="shared" si="1073"/>
        <v>0</v>
      </c>
      <c r="Q679" s="394">
        <f>SUM($P$4:P679)/COUNT($P$4:P679)</f>
        <v>0.52958579881656809</v>
      </c>
      <c r="S679" s="369">
        <v>18506.41</v>
      </c>
      <c r="T679" s="394">
        <f t="shared" si="1074"/>
        <v>3.2803307397556436E-2</v>
      </c>
      <c r="U679" s="394">
        <f t="shared" si="1075"/>
        <v>1.1562507282107686</v>
      </c>
      <c r="V679" s="395" t="str">
        <f t="shared" si="1076"/>
        <v>No</v>
      </c>
      <c r="W679" s="396">
        <f t="shared" si="1077"/>
        <v>0</v>
      </c>
      <c r="X679" s="394">
        <f>SUM($W$478:W679)/COUNT($W$478:W679)</f>
        <v>0.51485148514851486</v>
      </c>
    </row>
    <row r="680" spans="1:24" x14ac:dyDescent="0.15">
      <c r="A680" s="384">
        <f t="shared" si="1005"/>
        <v>678</v>
      </c>
      <c r="B680" s="401">
        <f t="shared" si="1078"/>
        <v>42572</v>
      </c>
      <c r="D680" s="390">
        <v>67826.989860000001</v>
      </c>
      <c r="E680" s="387">
        <v>67826.989860000001</v>
      </c>
      <c r="F680" s="387">
        <f t="shared" si="1066"/>
        <v>-81.857719999999972</v>
      </c>
      <c r="G680" s="388">
        <f t="shared" si="1067"/>
        <v>-1.2054058184917116E-3</v>
      </c>
      <c r="H680" s="387">
        <f t="shared" si="1068"/>
        <v>44971.139860000003</v>
      </c>
      <c r="I680" s="388">
        <f t="shared" si="1069"/>
        <v>1.9675986611742728</v>
      </c>
      <c r="L680" s="369">
        <v>2165.17</v>
      </c>
      <c r="M680" s="394">
        <f t="shared" si="1079"/>
        <v>6.5626805314855652E-4</v>
      </c>
      <c r="N680" s="394">
        <f t="shared" si="1071"/>
        <v>1.3279395320832617</v>
      </c>
      <c r="O680" s="395" t="str">
        <f t="shared" si="1080"/>
        <v>No</v>
      </c>
      <c r="P680" s="396">
        <f t="shared" si="1073"/>
        <v>0</v>
      </c>
      <c r="Q680" s="394">
        <f>SUM($P$4:P680)/COUNT($P$4:P680)</f>
        <v>0.52880354505169869</v>
      </c>
      <c r="S680" s="369">
        <v>18517.23</v>
      </c>
      <c r="T680" s="394">
        <f t="shared" ref="T680:T706" si="1081">S680/S679-1</f>
        <v>5.8466228728315528E-4</v>
      </c>
      <c r="U680" s="394">
        <f t="shared" ref="U680:U706" si="1082">(S680/$S$3)-1</f>
        <v>1.1575114066934802</v>
      </c>
      <c r="V680" s="395" t="str">
        <f t="shared" ref="V680:V706" si="1083">IF(G680&gt;T680,"Yes","No")</f>
        <v>No</v>
      </c>
      <c r="W680" s="396">
        <f t="shared" ref="W680:W706" si="1084">IF(V680="Yes",1,0)</f>
        <v>0</v>
      </c>
      <c r="X680" s="394">
        <f>SUM($W$478:W680)/COUNT($W$478:W680)</f>
        <v>0.51231527093596063</v>
      </c>
    </row>
    <row r="681" spans="1:24" x14ac:dyDescent="0.15">
      <c r="A681" s="384">
        <f t="shared" si="1005"/>
        <v>679</v>
      </c>
      <c r="B681" s="401">
        <f t="shared" si="1078"/>
        <v>42579</v>
      </c>
      <c r="D681" s="390">
        <v>68088.76182</v>
      </c>
      <c r="E681" s="387">
        <v>68088.76182</v>
      </c>
      <c r="F681" s="387">
        <f t="shared" si="1066"/>
        <v>261.77195999999822</v>
      </c>
      <c r="G681" s="388">
        <f t="shared" si="1067"/>
        <v>3.8594070080408827E-3</v>
      </c>
      <c r="H681" s="387">
        <f t="shared" si="1068"/>
        <v>45232.911820000001</v>
      </c>
      <c r="I681" s="388">
        <f t="shared" si="1069"/>
        <v>1.9790518322442616</v>
      </c>
      <c r="L681" s="369">
        <v>2170.06</v>
      </c>
      <c r="M681" s="394">
        <f t="shared" si="1079"/>
        <v>2.2584831676033534E-3</v>
      </c>
      <c r="N681" s="394">
        <f t="shared" si="1071"/>
        <v>1.3331971443316704</v>
      </c>
      <c r="O681" s="395" t="str">
        <f t="shared" si="1080"/>
        <v>Yes</v>
      </c>
      <c r="P681" s="396">
        <f t="shared" si="1073"/>
        <v>1</v>
      </c>
      <c r="Q681" s="394">
        <f>SUM($P$4:P681)/COUNT($P$4:P681)</f>
        <v>0.52949852507374628</v>
      </c>
      <c r="S681" s="369">
        <v>18456.349999999999</v>
      </c>
      <c r="T681" s="394">
        <f t="shared" si="1081"/>
        <v>-3.2877487615589063E-3</v>
      </c>
      <c r="U681" s="394">
        <f t="shared" si="1082"/>
        <v>1.1504180512380744</v>
      </c>
      <c r="V681" s="395" t="str">
        <f t="shared" si="1083"/>
        <v>Yes</v>
      </c>
      <c r="W681" s="396">
        <f t="shared" si="1084"/>
        <v>1</v>
      </c>
      <c r="X681" s="394">
        <f>SUM($W$478:W681)/COUNT($W$478:W681)</f>
        <v>0.51470588235294112</v>
      </c>
    </row>
    <row r="682" spans="1:24" x14ac:dyDescent="0.15">
      <c r="A682" s="384">
        <f t="shared" si="1005"/>
        <v>680</v>
      </c>
      <c r="B682" s="401">
        <f t="shared" si="1078"/>
        <v>42586</v>
      </c>
      <c r="D682" s="390">
        <v>67976.350980000017</v>
      </c>
      <c r="E682" s="387">
        <v>67976.350980000017</v>
      </c>
      <c r="F682" s="387">
        <f t="shared" si="1066"/>
        <v>-112.41083999998227</v>
      </c>
      <c r="G682" s="388">
        <f t="shared" si="1067"/>
        <v>-1.6509455745009616E-3</v>
      </c>
      <c r="H682" s="387">
        <f t="shared" si="1068"/>
        <v>45120.500980000019</v>
      </c>
      <c r="I682" s="388">
        <f t="shared" si="1069"/>
        <v>1.9741335798056086</v>
      </c>
      <c r="L682" s="369">
        <v>2164.37</v>
      </c>
      <c r="M682" s="394">
        <f t="shared" si="1079"/>
        <v>-2.6220473166640446E-3</v>
      </c>
      <c r="N682" s="394">
        <f t="shared" si="1071"/>
        <v>1.3270793910201273</v>
      </c>
      <c r="O682" s="395" t="str">
        <f t="shared" si="1080"/>
        <v>Yes</v>
      </c>
      <c r="P682" s="396">
        <f t="shared" si="1073"/>
        <v>1</v>
      </c>
      <c r="Q682" s="394">
        <f>SUM($P$4:P682)/COUNT($P$4:P682)</f>
        <v>0.53019145802650958</v>
      </c>
      <c r="S682" s="369">
        <v>18353.490000000002</v>
      </c>
      <c r="T682" s="394">
        <f t="shared" si="1081"/>
        <v>-5.573149620591078E-3</v>
      </c>
      <c r="U682" s="394">
        <f t="shared" si="1082"/>
        <v>1.1384334496917048</v>
      </c>
      <c r="V682" s="395" t="str">
        <f t="shared" si="1083"/>
        <v>Yes</v>
      </c>
      <c r="W682" s="396">
        <f t="shared" si="1084"/>
        <v>1</v>
      </c>
      <c r="X682" s="394">
        <f>SUM($W$478:W682)/COUNT($W$478:W682)</f>
        <v>0.51707317073170733</v>
      </c>
    </row>
    <row r="683" spans="1:24" x14ac:dyDescent="0.15">
      <c r="A683" s="384">
        <f t="shared" si="1005"/>
        <v>681</v>
      </c>
      <c r="B683" s="401">
        <f t="shared" si="1078"/>
        <v>42593</v>
      </c>
      <c r="D683" s="390">
        <v>68481.260160000005</v>
      </c>
      <c r="E683" s="387">
        <v>68481.260160000005</v>
      </c>
      <c r="F683" s="387">
        <f t="shared" si="1066"/>
        <v>504.90917999998783</v>
      </c>
      <c r="G683" s="388">
        <f t="shared" si="1067"/>
        <v>7.4277182096540439E-3</v>
      </c>
      <c r="H683" s="387">
        <f t="shared" si="1068"/>
        <v>45625.410160000007</v>
      </c>
      <c r="I683" s="388">
        <f t="shared" si="1069"/>
        <v>1.9962246059542745</v>
      </c>
      <c r="L683" s="369">
        <v>2185.7600000000002</v>
      </c>
      <c r="M683" s="394">
        <f t="shared" si="1079"/>
        <v>9.8827834427570593E-3</v>
      </c>
      <c r="N683" s="394">
        <f t="shared" si="1071"/>
        <v>1.3500774126956823</v>
      </c>
      <c r="O683" s="395" t="str">
        <f t="shared" si="1080"/>
        <v>No</v>
      </c>
      <c r="P683" s="396">
        <f t="shared" si="1073"/>
        <v>0</v>
      </c>
      <c r="Q683" s="394">
        <f>SUM($P$4:P683)/COUNT($P$4:P683)</f>
        <v>0.52941176470588236</v>
      </c>
      <c r="S683" s="369">
        <v>18612.32</v>
      </c>
      <c r="T683" s="394">
        <f t="shared" si="1081"/>
        <v>1.4102494947827227E-2</v>
      </c>
      <c r="U683" s="394">
        <f t="shared" si="1082"/>
        <v>1.168590696612247</v>
      </c>
      <c r="V683" s="395" t="str">
        <f t="shared" si="1083"/>
        <v>No</v>
      </c>
      <c r="W683" s="396">
        <f t="shared" si="1084"/>
        <v>0</v>
      </c>
      <c r="X683" s="394">
        <f>SUM($W$478:W683)/COUNT($W$478:W683)</f>
        <v>0.5145631067961165</v>
      </c>
    </row>
    <row r="684" spans="1:24" x14ac:dyDescent="0.15">
      <c r="A684" s="384">
        <f t="shared" si="1005"/>
        <v>682</v>
      </c>
      <c r="B684" s="401">
        <f t="shared" si="1078"/>
        <v>42600</v>
      </c>
      <c r="D684" s="390">
        <v>68377.120820000011</v>
      </c>
      <c r="E684" s="387">
        <v>68377.120820000011</v>
      </c>
      <c r="F684" s="387">
        <f t="shared" si="1066"/>
        <v>-104.13933999999426</v>
      </c>
      <c r="G684" s="388">
        <f t="shared" si="1067"/>
        <v>-1.5206983597656487E-3</v>
      </c>
      <c r="H684" s="387">
        <f t="shared" si="1068"/>
        <v>45521.270820000012</v>
      </c>
      <c r="I684" s="388">
        <f t="shared" si="1069"/>
        <v>1.9916682521105105</v>
      </c>
      <c r="L684" s="369">
        <v>2187.02</v>
      </c>
      <c r="M684" s="394">
        <f t="shared" si="1079"/>
        <v>5.7645853158616589E-4</v>
      </c>
      <c r="N684" s="394">
        <f t="shared" si="1071"/>
        <v>1.3514321348701186</v>
      </c>
      <c r="O684" s="395" t="str">
        <f t="shared" si="1080"/>
        <v>No</v>
      </c>
      <c r="P684" s="396">
        <f t="shared" si="1073"/>
        <v>0</v>
      </c>
      <c r="Q684" s="394">
        <f>SUM($P$4:P684)/COUNT($P$4:P684)</f>
        <v>0.52863436123348018</v>
      </c>
      <c r="S684" s="369">
        <v>18597.7</v>
      </c>
      <c r="T684" s="394">
        <f t="shared" si="1081"/>
        <v>-7.8550121639853199E-4</v>
      </c>
      <c r="U684" s="394">
        <f t="shared" si="1082"/>
        <v>1.1668872659821874</v>
      </c>
      <c r="V684" s="395" t="str">
        <f t="shared" si="1083"/>
        <v>No</v>
      </c>
      <c r="W684" s="396">
        <f t="shared" si="1084"/>
        <v>0</v>
      </c>
      <c r="X684" s="394">
        <f>SUM($W$478:W684)/COUNT($W$478:W684)</f>
        <v>0.51207729468599039</v>
      </c>
    </row>
    <row r="685" spans="1:24" x14ac:dyDescent="0.15">
      <c r="A685" s="384">
        <f t="shared" si="1005"/>
        <v>683</v>
      </c>
      <c r="B685" s="401">
        <f t="shared" si="1078"/>
        <v>42607</v>
      </c>
      <c r="D685" s="390">
        <v>68453.171579999995</v>
      </c>
      <c r="E685" s="387">
        <v>68453.171579999995</v>
      </c>
      <c r="F685" s="387">
        <f t="shared" si="1066"/>
        <v>76.050759999983711</v>
      </c>
      <c r="G685" s="388">
        <f t="shared" si="1067"/>
        <v>1.112225245637033E-3</v>
      </c>
      <c r="H685" s="387">
        <f t="shared" si="1068"/>
        <v>45597.321579999996</v>
      </c>
      <c r="I685" s="388">
        <f t="shared" si="1069"/>
        <v>1.9949956610670792</v>
      </c>
      <c r="L685" s="369">
        <v>2172.4699999999998</v>
      </c>
      <c r="M685" s="394">
        <f t="shared" si="1079"/>
        <v>-6.6528884052272641E-3</v>
      </c>
      <c r="N685" s="394">
        <f t="shared" si="1071"/>
        <v>1.3357883192843625</v>
      </c>
      <c r="O685" s="395" t="str">
        <f t="shared" si="1080"/>
        <v>Yes</v>
      </c>
      <c r="P685" s="396">
        <f t="shared" si="1073"/>
        <v>1</v>
      </c>
      <c r="Q685" s="394">
        <f>SUM($P$4:P685)/COUNT($P$4:P685)</f>
        <v>0.52932551319648091</v>
      </c>
      <c r="S685" s="369">
        <v>18448.41</v>
      </c>
      <c r="T685" s="394">
        <f t="shared" si="1081"/>
        <v>-8.0273367136797225E-3</v>
      </c>
      <c r="U685" s="394">
        <f t="shared" si="1082"/>
        <v>1.1494929322775636</v>
      </c>
      <c r="V685" s="395" t="str">
        <f t="shared" si="1083"/>
        <v>Yes</v>
      </c>
      <c r="W685" s="396">
        <f t="shared" si="1084"/>
        <v>1</v>
      </c>
      <c r="X685" s="394">
        <f>SUM($W$478:W685)/COUNT($W$478:W685)</f>
        <v>0.51442307692307687</v>
      </c>
    </row>
    <row r="686" spans="1:24" x14ac:dyDescent="0.15">
      <c r="A686" s="384">
        <f t="shared" si="1005"/>
        <v>684</v>
      </c>
      <c r="B686" s="401">
        <f t="shared" si="1078"/>
        <v>42614</v>
      </c>
      <c r="D686" s="390">
        <v>69318.902020000009</v>
      </c>
      <c r="E686" s="387">
        <v>69318.902020000009</v>
      </c>
      <c r="F686" s="387">
        <f t="shared" si="1066"/>
        <v>865.73044000001391</v>
      </c>
      <c r="G686" s="388">
        <f t="shared" si="1067"/>
        <v>1.2647046440912524E-2</v>
      </c>
      <c r="H686" s="387">
        <f t="shared" si="1068"/>
        <v>46463.05202000001</v>
      </c>
      <c r="I686" s="388">
        <f t="shared" si="1069"/>
        <v>2.0328735102829261</v>
      </c>
      <c r="L686" s="369">
        <v>2186.48</v>
      </c>
      <c r="M686" s="394">
        <f t="shared" si="1079"/>
        <v>6.4488807670532999E-3</v>
      </c>
      <c r="N686" s="394">
        <f t="shared" si="1071"/>
        <v>1.3508515396525027</v>
      </c>
      <c r="O686" s="395" t="str">
        <f t="shared" si="1080"/>
        <v>Yes</v>
      </c>
      <c r="P686" s="396">
        <f t="shared" si="1073"/>
        <v>1</v>
      </c>
      <c r="Q686" s="394">
        <f>SUM($P$4:P686)/COUNT($P$4:P686)</f>
        <v>0.53001464128843334</v>
      </c>
      <c r="S686" s="369">
        <v>18538.12</v>
      </c>
      <c r="T686" s="394">
        <f t="shared" si="1081"/>
        <v>4.8627496895397027E-3</v>
      </c>
      <c r="U686" s="394">
        <f t="shared" si="1082"/>
        <v>1.1599453783666638</v>
      </c>
      <c r="V686" s="395" t="str">
        <f t="shared" si="1083"/>
        <v>Yes</v>
      </c>
      <c r="W686" s="396">
        <f t="shared" si="1084"/>
        <v>1</v>
      </c>
      <c r="X686" s="394">
        <f>SUM($W$478:W686)/COUNT($W$478:W686)</f>
        <v>0.51674641148325362</v>
      </c>
    </row>
    <row r="687" spans="1:24" x14ac:dyDescent="0.15">
      <c r="A687" s="384">
        <f t="shared" si="1005"/>
        <v>685</v>
      </c>
      <c r="B687" s="401">
        <f t="shared" si="1078"/>
        <v>42621</v>
      </c>
      <c r="D687" s="390">
        <v>69364.042569999991</v>
      </c>
      <c r="E687" s="387">
        <v>69364.042569999991</v>
      </c>
      <c r="F687" s="387">
        <f t="shared" si="1066"/>
        <v>45.140549999981886</v>
      </c>
      <c r="G687" s="388">
        <f t="shared" si="1067"/>
        <v>6.512011685781971E-4</v>
      </c>
      <c r="H687" s="387">
        <f t="shared" si="1068"/>
        <v>46508.192569999992</v>
      </c>
      <c r="I687" s="388">
        <f t="shared" si="1069"/>
        <v>2.034848521056972</v>
      </c>
      <c r="L687" s="369">
        <v>2181.3000000000002</v>
      </c>
      <c r="M687" s="394">
        <f t="shared" si="1079"/>
        <v>-2.3691046796676662E-3</v>
      </c>
      <c r="N687" s="394">
        <f t="shared" si="1071"/>
        <v>1.345282126268708</v>
      </c>
      <c r="O687" s="395" t="str">
        <f t="shared" si="1080"/>
        <v>Yes</v>
      </c>
      <c r="P687" s="396">
        <f t="shared" si="1073"/>
        <v>1</v>
      </c>
      <c r="Q687" s="394">
        <f>SUM($P$4:P687)/COUNT($P$4:P687)</f>
        <v>0.5307017543859649</v>
      </c>
      <c r="S687" s="369">
        <v>18479.91</v>
      </c>
      <c r="T687" s="394">
        <f t="shared" si="1081"/>
        <v>-3.1400163554879956E-3</v>
      </c>
      <c r="U687" s="394">
        <f t="shared" si="1082"/>
        <v>1.1531631145516319</v>
      </c>
      <c r="V687" s="395" t="str">
        <f t="shared" si="1083"/>
        <v>Yes</v>
      </c>
      <c r="W687" s="396">
        <f t="shared" si="1084"/>
        <v>1</v>
      </c>
      <c r="X687" s="394">
        <f>SUM($W$478:W687)/COUNT($W$478:W687)</f>
        <v>0.51904761904761909</v>
      </c>
    </row>
    <row r="688" spans="1:24" x14ac:dyDescent="0.15">
      <c r="A688" s="384">
        <f t="shared" si="1005"/>
        <v>686</v>
      </c>
      <c r="B688" s="401">
        <f t="shared" si="1078"/>
        <v>42628</v>
      </c>
      <c r="D688" s="390">
        <v>68746.858730000007</v>
      </c>
      <c r="E688" s="387">
        <v>68746.858730000007</v>
      </c>
      <c r="F688" s="387">
        <f t="shared" si="1066"/>
        <v>-617.18383999998332</v>
      </c>
      <c r="G688" s="388">
        <f t="shared" si="1067"/>
        <v>-8.8977489940431642E-3</v>
      </c>
      <c r="H688" s="387">
        <f t="shared" si="1068"/>
        <v>45891.008730000009</v>
      </c>
      <c r="I688" s="388">
        <f t="shared" si="1069"/>
        <v>2.0078452006816643</v>
      </c>
      <c r="L688" s="369">
        <v>2147.2600000000002</v>
      </c>
      <c r="M688" s="394">
        <f t="shared" si="1079"/>
        <v>-1.5605372942740559E-2</v>
      </c>
      <c r="N688" s="394">
        <f t="shared" si="1071"/>
        <v>1.3086831240323415</v>
      </c>
      <c r="O688" s="395" t="str">
        <f t="shared" si="1080"/>
        <v>Yes</v>
      </c>
      <c r="P688" s="396">
        <f t="shared" si="1073"/>
        <v>1</v>
      </c>
      <c r="Q688" s="394">
        <f>SUM($P$4:P688)/COUNT($P$4:P688)</f>
        <v>0.53138686131386859</v>
      </c>
      <c r="S688" s="369">
        <v>18212.48</v>
      </c>
      <c r="T688" s="394">
        <f t="shared" si="1081"/>
        <v>-1.4471390823873054E-2</v>
      </c>
      <c r="U688" s="394">
        <f t="shared" si="1082"/>
        <v>1.1220038496134075</v>
      </c>
      <c r="V688" s="395" t="str">
        <f t="shared" si="1083"/>
        <v>Yes</v>
      </c>
      <c r="W688" s="396">
        <f t="shared" si="1084"/>
        <v>1</v>
      </c>
      <c r="X688" s="394">
        <f>SUM($W$478:W688)/COUNT($W$478:W688)</f>
        <v>0.52132701421800953</v>
      </c>
    </row>
    <row r="689" spans="1:24" x14ac:dyDescent="0.15">
      <c r="A689" s="384">
        <f t="shared" si="1005"/>
        <v>687</v>
      </c>
      <c r="B689" s="401">
        <f t="shared" si="1078"/>
        <v>42635</v>
      </c>
      <c r="D689" s="390">
        <v>69559.593970000002</v>
      </c>
      <c r="E689" s="387">
        <v>69559.593970000002</v>
      </c>
      <c r="F689" s="387">
        <f t="shared" si="1066"/>
        <v>812.73523999999452</v>
      </c>
      <c r="G689" s="388">
        <f t="shared" si="1067"/>
        <v>1.1822143658839268E-2</v>
      </c>
      <c r="H689" s="387">
        <f t="shared" si="1068"/>
        <v>46703.743970000003</v>
      </c>
      <c r="I689" s="388">
        <f t="shared" si="1069"/>
        <v>2.043404378747673</v>
      </c>
      <c r="L689" s="369">
        <v>2177.1799999999998</v>
      </c>
      <c r="M689" s="394">
        <f t="shared" si="1079"/>
        <v>1.3934036865586696E-2</v>
      </c>
      <c r="N689" s="394">
        <f t="shared" si="1071"/>
        <v>1.3408523997935657</v>
      </c>
      <c r="O689" s="395" t="str">
        <f t="shared" si="1080"/>
        <v>No</v>
      </c>
      <c r="P689" s="396">
        <f t="shared" si="1073"/>
        <v>0</v>
      </c>
      <c r="Q689" s="394">
        <f>SUM($P$4:P689)/COUNT($P$4:P689)</f>
        <v>0.53061224489795922</v>
      </c>
      <c r="S689" s="369">
        <v>18392.46</v>
      </c>
      <c r="T689" s="394">
        <f t="shared" si="1081"/>
        <v>9.8822345995712713E-3</v>
      </c>
      <c r="U689" s="394">
        <f t="shared" si="1082"/>
        <v>1.1429739894764803</v>
      </c>
      <c r="V689" s="395" t="str">
        <f t="shared" si="1083"/>
        <v>Yes</v>
      </c>
      <c r="W689" s="396">
        <f t="shared" si="1084"/>
        <v>1</v>
      </c>
      <c r="X689" s="394">
        <f>SUM($W$478:W689)/COUNT($W$478:W689)</f>
        <v>0.52358490566037741</v>
      </c>
    </row>
    <row r="690" spans="1:24" x14ac:dyDescent="0.15">
      <c r="A690" s="384">
        <f t="shared" si="1005"/>
        <v>688</v>
      </c>
      <c r="B690" s="401">
        <f t="shared" si="1078"/>
        <v>42642</v>
      </c>
      <c r="D690" s="390">
        <v>69044.47073999999</v>
      </c>
      <c r="E690" s="387">
        <v>69044.47073999999</v>
      </c>
      <c r="F690" s="387">
        <f t="shared" si="1066"/>
        <v>-515.12323000001197</v>
      </c>
      <c r="G690" s="388">
        <f t="shared" si="1067"/>
        <v>-7.4054950668943631E-3</v>
      </c>
      <c r="H690" s="387">
        <f t="shared" si="1068"/>
        <v>46188.620739999991</v>
      </c>
      <c r="I690" s="388">
        <f t="shared" si="1069"/>
        <v>2.0208664626342925</v>
      </c>
      <c r="L690" s="369">
        <v>2151.13</v>
      </c>
      <c r="M690" s="394">
        <f t="shared" si="1079"/>
        <v>-1.1965018969492536E-2</v>
      </c>
      <c r="N690" s="394">
        <f t="shared" si="1071"/>
        <v>1.3128440564252539</v>
      </c>
      <c r="O690" s="395" t="str">
        <f t="shared" si="1080"/>
        <v>Yes</v>
      </c>
      <c r="P690" s="396">
        <f t="shared" si="1073"/>
        <v>1</v>
      </c>
      <c r="Q690" s="394">
        <f>SUM($P$4:P690)/COUNT($P$4:P690)</f>
        <v>0.53129548762736534</v>
      </c>
      <c r="S690" s="369">
        <v>18143.45</v>
      </c>
      <c r="T690" s="394">
        <f t="shared" si="1081"/>
        <v>-1.3538700097757372E-2</v>
      </c>
      <c r="U690" s="394">
        <f t="shared" si="1082"/>
        <v>1.1139609073156636</v>
      </c>
      <c r="V690" s="395" t="str">
        <f t="shared" si="1083"/>
        <v>Yes</v>
      </c>
      <c r="W690" s="396">
        <f t="shared" si="1084"/>
        <v>1</v>
      </c>
      <c r="X690" s="394">
        <f>SUM($W$478:W690)/COUNT($W$478:W690)</f>
        <v>0.5258215962441315</v>
      </c>
    </row>
    <row r="691" spans="1:24" x14ac:dyDescent="0.15">
      <c r="A691" s="384">
        <f t="shared" si="1005"/>
        <v>689</v>
      </c>
      <c r="B691" s="401">
        <f t="shared" si="1078"/>
        <v>42649</v>
      </c>
      <c r="D691" s="390">
        <v>69443.870759999991</v>
      </c>
      <c r="E691" s="387">
        <v>69443.870759999991</v>
      </c>
      <c r="F691" s="387">
        <f t="shared" si="1066"/>
        <v>399.40002000000095</v>
      </c>
      <c r="G691" s="388">
        <f t="shared" si="1067"/>
        <v>5.7846778419667899E-3</v>
      </c>
      <c r="H691" s="387">
        <f t="shared" si="1068"/>
        <v>46588.020759999992</v>
      </c>
      <c r="I691" s="388">
        <f t="shared" si="1069"/>
        <v>2.0383412019242337</v>
      </c>
      <c r="L691" s="369">
        <v>2160.77</v>
      </c>
      <c r="M691" s="394">
        <f t="shared" si="1079"/>
        <v>4.4813656078432906E-3</v>
      </c>
      <c r="N691" s="394">
        <f t="shared" si="1071"/>
        <v>1.3232087562360224</v>
      </c>
      <c r="O691" s="395" t="str">
        <f t="shared" si="1080"/>
        <v>Yes</v>
      </c>
      <c r="P691" s="396">
        <f t="shared" si="1073"/>
        <v>1</v>
      </c>
      <c r="Q691" s="394">
        <f>SUM($P$4:P691)/COUNT($P$4:P691)</f>
        <v>0.53197674418604646</v>
      </c>
      <c r="S691" s="369">
        <v>18268.5</v>
      </c>
      <c r="T691" s="394">
        <f t="shared" si="1081"/>
        <v>6.8922944643934336E-3</v>
      </c>
      <c r="U691" s="394">
        <f t="shared" si="1082"/>
        <v>1.1285309483750994</v>
      </c>
      <c r="V691" s="395" t="str">
        <f t="shared" si="1083"/>
        <v>No</v>
      </c>
      <c r="W691" s="396">
        <f t="shared" si="1084"/>
        <v>0</v>
      </c>
      <c r="X691" s="394">
        <f>SUM($W$478:W691)/COUNT($W$478:W691)</f>
        <v>0.52336448598130836</v>
      </c>
    </row>
    <row r="692" spans="1:24" x14ac:dyDescent="0.15">
      <c r="A692" s="384">
        <f t="shared" si="1005"/>
        <v>690</v>
      </c>
      <c r="B692" s="401">
        <f t="shared" si="1078"/>
        <v>42656</v>
      </c>
      <c r="D692" s="390">
        <f>D698-D691+D691</f>
        <v>68165.274269999994</v>
      </c>
      <c r="E692" s="387">
        <f>D692</f>
        <v>68165.274269999994</v>
      </c>
      <c r="F692" s="387">
        <f t="shared" si="1066"/>
        <v>-1278.5964899999963</v>
      </c>
      <c r="G692" s="388">
        <f t="shared" si="1067"/>
        <v>-1.8411941558080236E-2</v>
      </c>
      <c r="H692" s="387">
        <f t="shared" si="1068"/>
        <v>45309.424269999996</v>
      </c>
      <c r="I692" s="388">
        <f t="shared" si="1069"/>
        <v>1.9823994412808972</v>
      </c>
      <c r="L692" s="369">
        <v>2132.5500000000002</v>
      </c>
      <c r="M692" s="394">
        <f t="shared" si="1079"/>
        <v>-1.3060159109946845E-2</v>
      </c>
      <c r="N692" s="394">
        <f t="shared" si="1071"/>
        <v>1.2928672802339585</v>
      </c>
      <c r="O692" s="395" t="str">
        <f t="shared" si="1080"/>
        <v>No</v>
      </c>
      <c r="P692" s="396">
        <f t="shared" si="1073"/>
        <v>0</v>
      </c>
      <c r="Q692" s="394">
        <f>SUM($P$4:P692)/COUNT($P$4:P692)</f>
        <v>0.53120464441219162</v>
      </c>
      <c r="S692" s="369">
        <v>18098.939999999999</v>
      </c>
      <c r="T692" s="394">
        <f t="shared" si="1081"/>
        <v>-9.281550209376821E-3</v>
      </c>
      <c r="U692" s="394">
        <f t="shared" si="1082"/>
        <v>1.1087748815055436</v>
      </c>
      <c r="V692" s="395" t="str">
        <f t="shared" si="1083"/>
        <v>No</v>
      </c>
      <c r="W692" s="396">
        <f t="shared" si="1084"/>
        <v>0</v>
      </c>
      <c r="X692" s="394">
        <f>SUM($W$478:W692)/COUNT($W$478:W692)</f>
        <v>0.52093023255813953</v>
      </c>
    </row>
    <row r="693" spans="1:24" x14ac:dyDescent="0.15">
      <c r="A693" s="384">
        <f t="shared" si="1005"/>
        <v>691</v>
      </c>
      <c r="B693" s="401">
        <f t="shared" si="1078"/>
        <v>42663</v>
      </c>
      <c r="D693" s="390">
        <f t="shared" ref="D693:D696" si="1085">D699-D692+D692</f>
        <v>67290.31667</v>
      </c>
      <c r="E693" s="387">
        <f t="shared" ref="E693:E707" si="1086">D693</f>
        <v>67290.31667</v>
      </c>
      <c r="F693" s="387">
        <f t="shared" si="1066"/>
        <v>-874.95759999999427</v>
      </c>
      <c r="G693" s="388">
        <f t="shared" si="1067"/>
        <v>-1.2835826003344764E-2</v>
      </c>
      <c r="H693" s="387">
        <f t="shared" si="1068"/>
        <v>44434.466670000002</v>
      </c>
      <c r="I693" s="388">
        <f t="shared" si="1069"/>
        <v>1.9441178809801429</v>
      </c>
      <c r="L693" s="369">
        <v>2141.34</v>
      </c>
      <c r="M693" s="394">
        <f t="shared" si="1079"/>
        <v>4.1218259829780557E-3</v>
      </c>
      <c r="N693" s="394">
        <f t="shared" si="1071"/>
        <v>1.3023180801651471</v>
      </c>
      <c r="O693" s="395" t="str">
        <f t="shared" si="1080"/>
        <v>No</v>
      </c>
      <c r="P693" s="396">
        <v>0</v>
      </c>
      <c r="Q693" s="394">
        <f>SUM($P$4:P693)/COUNT($P$4:P693)</f>
        <v>0.5304347826086957</v>
      </c>
      <c r="S693" s="369">
        <v>18162.349999999999</v>
      </c>
      <c r="T693" s="394">
        <f t="shared" si="1081"/>
        <v>3.503520095651913E-3</v>
      </c>
      <c r="U693" s="394">
        <f t="shared" si="1082"/>
        <v>1.1161630166801042</v>
      </c>
      <c r="V693" s="395" t="str">
        <f t="shared" si="1083"/>
        <v>No</v>
      </c>
      <c r="W693" s="396">
        <v>0</v>
      </c>
      <c r="X693" s="394">
        <f>SUM($W$478:W693)/COUNT($W$478:W693)</f>
        <v>0.51851851851851849</v>
      </c>
    </row>
    <row r="694" spans="1:24" x14ac:dyDescent="0.15">
      <c r="A694" s="384">
        <f t="shared" si="1005"/>
        <v>692</v>
      </c>
      <c r="B694" s="401">
        <f t="shared" si="1078"/>
        <v>42670</v>
      </c>
      <c r="D694" s="390">
        <f t="shared" si="1085"/>
        <v>69060.329310000001</v>
      </c>
      <c r="E694" s="387">
        <f t="shared" si="1086"/>
        <v>69060.329310000001</v>
      </c>
      <c r="F694" s="387">
        <f t="shared" si="1066"/>
        <v>1770.0126400000008</v>
      </c>
      <c r="G694" s="388">
        <f t="shared" si="1067"/>
        <v>2.6304121121622392E-2</v>
      </c>
      <c r="H694" s="387">
        <f t="shared" si="1068"/>
        <v>46204.479310000002</v>
      </c>
      <c r="I694" s="388">
        <f t="shared" si="1069"/>
        <v>2.0215603143177789</v>
      </c>
      <c r="L694" s="369">
        <v>2133.04</v>
      </c>
      <c r="M694" s="394">
        <f t="shared" si="1079"/>
        <v>-3.876077596271621E-3</v>
      </c>
      <c r="N694" s="394">
        <f t="shared" si="1071"/>
        <v>1.2933941166351279</v>
      </c>
      <c r="O694" s="395" t="str">
        <f t="shared" si="1080"/>
        <v>Yes</v>
      </c>
      <c r="P694" s="396">
        <v>0</v>
      </c>
      <c r="Q694" s="394">
        <f>SUM($P$4:P694)/COUNT($P$4:P694)</f>
        <v>0.52966714905933432</v>
      </c>
      <c r="S694" s="369">
        <v>18169.68</v>
      </c>
      <c r="T694" s="394">
        <f t="shared" si="1081"/>
        <v>4.0358213557167844E-4</v>
      </c>
      <c r="U694" s="394">
        <f t="shared" si="1082"/>
        <v>1.1170170622695941</v>
      </c>
      <c r="V694" s="395" t="str">
        <f t="shared" si="1083"/>
        <v>Yes</v>
      </c>
      <c r="W694" s="396">
        <v>0</v>
      </c>
      <c r="X694" s="394">
        <f>SUM($W$478:W694)/COUNT($W$478:W694)</f>
        <v>0.5161290322580645</v>
      </c>
    </row>
    <row r="695" spans="1:24" x14ac:dyDescent="0.15">
      <c r="A695" s="384">
        <f t="shared" si="1005"/>
        <v>693</v>
      </c>
      <c r="B695" s="401">
        <f t="shared" si="1078"/>
        <v>42677</v>
      </c>
      <c r="D695" s="390">
        <f t="shared" si="1085"/>
        <v>69446.007450000005</v>
      </c>
      <c r="E695" s="387">
        <f t="shared" si="1086"/>
        <v>69446.007450000005</v>
      </c>
      <c r="F695" s="387">
        <f t="shared" si="1066"/>
        <v>385.67814000000362</v>
      </c>
      <c r="G695" s="388">
        <f t="shared" si="1067"/>
        <v>5.5846553854204117E-3</v>
      </c>
      <c r="H695" s="387">
        <f t="shared" si="1068"/>
        <v>46590.157450000006</v>
      </c>
      <c r="I695" s="388">
        <f t="shared" si="1069"/>
        <v>2.0384346873995063</v>
      </c>
      <c r="L695" s="369">
        <v>2088.66</v>
      </c>
      <c r="M695" s="394">
        <f t="shared" si="1079"/>
        <v>-2.080598582305071E-2</v>
      </c>
      <c r="N695" s="394">
        <f t="shared" si="1071"/>
        <v>1.2456777911577497</v>
      </c>
      <c r="O695" s="395" t="str">
        <f t="shared" si="1080"/>
        <v>Yes</v>
      </c>
      <c r="P695" s="396">
        <v>0</v>
      </c>
      <c r="Q695" s="394">
        <f>SUM($P$4:P695)/COUNT($P$4:P695)</f>
        <v>0.52890173410404628</v>
      </c>
      <c r="S695" s="369">
        <v>17930.669999999998</v>
      </c>
      <c r="T695" s="394">
        <f t="shared" si="1081"/>
        <v>-1.3154331831931154E-2</v>
      </c>
      <c r="U695" s="394">
        <f t="shared" si="1082"/>
        <v>1.0891691173386397</v>
      </c>
      <c r="V695" s="395" t="str">
        <f t="shared" si="1083"/>
        <v>Yes</v>
      </c>
      <c r="W695" s="396">
        <v>0</v>
      </c>
      <c r="X695" s="394">
        <f>SUM($W$478:W695)/COUNT($W$478:W695)</f>
        <v>0.51376146788990829</v>
      </c>
    </row>
    <row r="696" spans="1:24" x14ac:dyDescent="0.15">
      <c r="A696" s="384">
        <f t="shared" si="1005"/>
        <v>694</v>
      </c>
      <c r="B696" s="401">
        <f t="shared" si="1078"/>
        <v>42684</v>
      </c>
      <c r="D696" s="390">
        <f t="shared" si="1085"/>
        <v>69182.941690000007</v>
      </c>
      <c r="E696" s="387">
        <f t="shared" si="1086"/>
        <v>69182.941690000007</v>
      </c>
      <c r="F696" s="387">
        <f t="shared" si="1066"/>
        <v>-263.06575999999768</v>
      </c>
      <c r="G696" s="388">
        <f t="shared" si="1067"/>
        <v>-3.7880616850349824E-3</v>
      </c>
      <c r="H696" s="387">
        <f t="shared" si="1068"/>
        <v>46327.091690000008</v>
      </c>
      <c r="I696" s="388">
        <f t="shared" si="1069"/>
        <v>2.0269249093776871</v>
      </c>
      <c r="L696" s="369">
        <v>2167.48</v>
      </c>
      <c r="M696" s="394">
        <f t="shared" si="1079"/>
        <v>3.7737113747570383E-2</v>
      </c>
      <c r="N696" s="394">
        <f t="shared" si="1071"/>
        <v>1.3304231894030618</v>
      </c>
      <c r="O696" s="395" t="str">
        <f t="shared" si="1080"/>
        <v>No</v>
      </c>
      <c r="P696" s="396">
        <v>0</v>
      </c>
      <c r="Q696" s="394">
        <f>SUM($P$4:P696)/COUNT($P$4:P696)</f>
        <v>0.52813852813852813</v>
      </c>
      <c r="S696" s="369">
        <v>18807.88</v>
      </c>
      <c r="T696" s="394">
        <f t="shared" si="1081"/>
        <v>4.8922321363340071E-2</v>
      </c>
      <c r="U696" s="394">
        <f t="shared" si="1082"/>
        <v>1.1913761202794464</v>
      </c>
      <c r="V696" s="395" t="str">
        <f t="shared" si="1083"/>
        <v>No</v>
      </c>
      <c r="W696" s="396">
        <v>0</v>
      </c>
      <c r="X696" s="394">
        <f>SUM($W$478:W696)/COUNT($W$478:W696)</f>
        <v>0.51141552511415522</v>
      </c>
    </row>
    <row r="697" spans="1:24" x14ac:dyDescent="0.15">
      <c r="A697" s="384">
        <f t="shared" si="1005"/>
        <v>695</v>
      </c>
      <c r="B697" s="401">
        <f t="shared" si="1078"/>
        <v>42691</v>
      </c>
      <c r="D697" s="390">
        <f>D703-D696+D696</f>
        <v>68943.256329999975</v>
      </c>
      <c r="E697" s="387">
        <f t="shared" si="1086"/>
        <v>68943.256329999975</v>
      </c>
      <c r="F697" s="387">
        <f t="shared" si="1066"/>
        <v>-239.68536000003223</v>
      </c>
      <c r="G697" s="388">
        <f t="shared" si="1067"/>
        <v>-3.4645153002315077E-3</v>
      </c>
      <c r="H697" s="387">
        <f t="shared" si="1068"/>
        <v>46087.406329999976</v>
      </c>
      <c r="I697" s="388">
        <f t="shared" si="1069"/>
        <v>2.0164380817164962</v>
      </c>
      <c r="L697" s="369">
        <v>2187.12</v>
      </c>
      <c r="M697" s="394">
        <f t="shared" si="1079"/>
        <v>9.0612139443040363E-3</v>
      </c>
      <c r="N697" s="394">
        <f t="shared" si="1071"/>
        <v>1.3515396525030101</v>
      </c>
      <c r="O697" s="395" t="str">
        <f t="shared" si="1080"/>
        <v>No</v>
      </c>
      <c r="P697" s="396">
        <v>0</v>
      </c>
      <c r="Q697" s="394">
        <f>SUM($P$4:P697)/COUNT($P$4:P697)</f>
        <v>0.52737752161383289</v>
      </c>
      <c r="S697" s="369">
        <v>18903.82</v>
      </c>
      <c r="T697" s="394">
        <f t="shared" si="1081"/>
        <v>5.1010533882605014E-3</v>
      </c>
      <c r="U697" s="394">
        <f t="shared" si="1082"/>
        <v>1.2025544468627514</v>
      </c>
      <c r="V697" s="395" t="str">
        <f t="shared" si="1083"/>
        <v>No</v>
      </c>
      <c r="W697" s="396">
        <v>0</v>
      </c>
      <c r="X697" s="394">
        <f>SUM($W$478:W697)/COUNT($W$478:W697)</f>
        <v>0.50909090909090904</v>
      </c>
    </row>
    <row r="698" spans="1:24" x14ac:dyDescent="0.15">
      <c r="A698" s="384">
        <f t="shared" si="1005"/>
        <v>696</v>
      </c>
      <c r="B698" s="401">
        <f t="shared" si="1078"/>
        <v>42698</v>
      </c>
      <c r="D698" s="390">
        <v>68165.274269999994</v>
      </c>
      <c r="E698" s="387">
        <f t="shared" si="1086"/>
        <v>68165.274269999994</v>
      </c>
      <c r="F698" s="387">
        <f t="shared" si="1066"/>
        <v>-777.98205999998027</v>
      </c>
      <c r="G698" s="388">
        <f t="shared" si="1067"/>
        <v>-1.1284382279191041E-2</v>
      </c>
      <c r="H698" s="387">
        <f t="shared" si="1068"/>
        <v>45309.424269999996</v>
      </c>
      <c r="I698" s="388">
        <f t="shared" si="1069"/>
        <v>1.9823994412808972</v>
      </c>
      <c r="L698" s="369">
        <v>2204.7199999999998</v>
      </c>
      <c r="M698" s="394">
        <f t="shared" si="1079"/>
        <v>8.0471121840592907E-3</v>
      </c>
      <c r="N698" s="394">
        <f t="shared" si="1071"/>
        <v>1.3704627558919658</v>
      </c>
      <c r="O698" s="395" t="str">
        <f t="shared" si="1080"/>
        <v>No</v>
      </c>
      <c r="P698" s="396">
        <v>0</v>
      </c>
      <c r="Q698" s="394">
        <f>SUM($P$4:P698)/COUNT($P$4:P698)</f>
        <v>0.52661870503597119</v>
      </c>
      <c r="S698" s="369">
        <v>19083.18</v>
      </c>
      <c r="T698" s="394">
        <f t="shared" si="1081"/>
        <v>9.4880294035808443E-3</v>
      </c>
      <c r="U698" s="394">
        <f t="shared" si="1082"/>
        <v>1.223452348217573</v>
      </c>
      <c r="V698" s="395" t="str">
        <f t="shared" si="1083"/>
        <v>No</v>
      </c>
      <c r="W698" s="396">
        <v>0</v>
      </c>
      <c r="X698" s="394">
        <f>SUM($W$478:W698)/COUNT($W$478:W698)</f>
        <v>0.50678733031674206</v>
      </c>
    </row>
    <row r="699" spans="1:24" x14ac:dyDescent="0.15">
      <c r="A699" s="384">
        <f t="shared" si="1005"/>
        <v>697</v>
      </c>
      <c r="B699" s="401">
        <f t="shared" si="1078"/>
        <v>42705</v>
      </c>
      <c r="D699" s="390">
        <v>67290.31667</v>
      </c>
      <c r="E699" s="387">
        <f t="shared" si="1086"/>
        <v>67290.31667</v>
      </c>
      <c r="F699" s="387">
        <f t="shared" si="1066"/>
        <v>-874.95759999999427</v>
      </c>
      <c r="G699" s="388">
        <f t="shared" si="1067"/>
        <v>-1.2835826003344764E-2</v>
      </c>
      <c r="H699" s="387">
        <f t="shared" si="1068"/>
        <v>44434.466670000002</v>
      </c>
      <c r="I699" s="388">
        <f t="shared" si="1069"/>
        <v>1.9441178809801429</v>
      </c>
      <c r="L699" s="369">
        <v>2191.08</v>
      </c>
      <c r="M699" s="394">
        <f t="shared" si="1079"/>
        <v>-6.1867266591675296E-3</v>
      </c>
      <c r="N699" s="394">
        <f t="shared" si="1071"/>
        <v>1.3557973507655254</v>
      </c>
      <c r="O699" s="395" t="str">
        <f t="shared" si="1080"/>
        <v>No</v>
      </c>
      <c r="P699" s="396">
        <f t="shared" si="1073"/>
        <v>0</v>
      </c>
      <c r="Q699" s="394">
        <f>SUM($P$4:P699)/COUNT($P$4:P699)</f>
        <v>0.52586206896551724</v>
      </c>
      <c r="S699" s="369">
        <v>19191.93</v>
      </c>
      <c r="T699" s="394">
        <f t="shared" si="1081"/>
        <v>5.6987357453002208E-3</v>
      </c>
      <c r="U699" s="394">
        <f t="shared" si="1082"/>
        <v>1.2361232155923325</v>
      </c>
      <c r="V699" s="395" t="str">
        <f t="shared" si="1083"/>
        <v>No</v>
      </c>
      <c r="W699" s="396">
        <f t="shared" si="1084"/>
        <v>0</v>
      </c>
      <c r="X699" s="394">
        <f>SUM($W$478:W699)/COUNT($W$478:W699)</f>
        <v>0.50450450450450446</v>
      </c>
    </row>
    <row r="700" spans="1:24" x14ac:dyDescent="0.15">
      <c r="A700" s="384">
        <f t="shared" si="1005"/>
        <v>698</v>
      </c>
      <c r="B700" s="401">
        <f t="shared" si="1078"/>
        <v>42712</v>
      </c>
      <c r="D700" s="390">
        <v>69060.329310000001</v>
      </c>
      <c r="E700" s="387">
        <f t="shared" si="1086"/>
        <v>69060.329310000001</v>
      </c>
      <c r="F700" s="387">
        <f t="shared" si="1066"/>
        <v>1770.0126400000008</v>
      </c>
      <c r="G700" s="388">
        <f t="shared" si="1067"/>
        <v>2.6304121121622392E-2</v>
      </c>
      <c r="H700" s="387">
        <f t="shared" si="1068"/>
        <v>46204.479310000002</v>
      </c>
      <c r="I700" s="388">
        <f t="shared" si="1069"/>
        <v>2.0215603143177789</v>
      </c>
      <c r="L700" s="369">
        <v>2246.19</v>
      </c>
      <c r="M700" s="394">
        <f t="shared" si="1079"/>
        <v>2.5151979845555728E-2</v>
      </c>
      <c r="N700" s="394">
        <f t="shared" si="1071"/>
        <v>1.4150503182521934</v>
      </c>
      <c r="O700" s="395" t="str">
        <f t="shared" si="1080"/>
        <v>Yes</v>
      </c>
      <c r="P700" s="396">
        <f t="shared" si="1073"/>
        <v>1</v>
      </c>
      <c r="Q700" s="394">
        <f>SUM($P$4:P700)/COUNT($P$4:P700)</f>
        <v>0.52654232424677183</v>
      </c>
      <c r="S700" s="369">
        <v>19614.810000000001</v>
      </c>
      <c r="T700" s="394">
        <f t="shared" si="1081"/>
        <v>2.203426127544228E-2</v>
      </c>
      <c r="U700" s="394">
        <f t="shared" si="1082"/>
        <v>1.2853945387687764</v>
      </c>
      <c r="V700" s="395" t="str">
        <f t="shared" si="1083"/>
        <v>Yes</v>
      </c>
      <c r="W700" s="396">
        <f t="shared" si="1084"/>
        <v>1</v>
      </c>
      <c r="X700" s="394">
        <f>SUM($W$478:W700)/COUNT($W$478:W700)</f>
        <v>0.50672645739910316</v>
      </c>
    </row>
    <row r="701" spans="1:24" x14ac:dyDescent="0.15">
      <c r="A701" s="384">
        <f t="shared" si="1005"/>
        <v>699</v>
      </c>
      <c r="B701" s="401">
        <f t="shared" si="1078"/>
        <v>42719</v>
      </c>
      <c r="D701" s="390">
        <v>69446.007450000005</v>
      </c>
      <c r="E701" s="387">
        <f t="shared" si="1086"/>
        <v>69446.007450000005</v>
      </c>
      <c r="F701" s="387">
        <f t="shared" si="1066"/>
        <v>385.67814000000362</v>
      </c>
      <c r="G701" s="388">
        <f t="shared" si="1067"/>
        <v>5.5846553854204117E-3</v>
      </c>
      <c r="H701" s="387">
        <f t="shared" si="1068"/>
        <v>46590.157450000006</v>
      </c>
      <c r="I701" s="388">
        <f t="shared" si="1069"/>
        <v>2.0384346873995063</v>
      </c>
      <c r="L701" s="369">
        <v>2262.0300000000002</v>
      </c>
      <c r="M701" s="394">
        <f t="shared" si="1079"/>
        <v>7.0519412872465104E-3</v>
      </c>
      <c r="N701" s="394">
        <f t="shared" si="1071"/>
        <v>1.4320811113022538</v>
      </c>
      <c r="O701" s="395" t="str">
        <f t="shared" si="1080"/>
        <v>No</v>
      </c>
      <c r="P701" s="396">
        <f t="shared" si="1073"/>
        <v>0</v>
      </c>
      <c r="Q701" s="394">
        <f>SUM($P$4:P701)/COUNT($P$4:P701)</f>
        <v>0.52578796561604579</v>
      </c>
      <c r="S701" s="369">
        <v>19852.64</v>
      </c>
      <c r="T701" s="394">
        <f t="shared" si="1081"/>
        <v>1.2125021858483409E-2</v>
      </c>
      <c r="U701" s="394">
        <f t="shared" si="1082"/>
        <v>1.3131049975066063</v>
      </c>
      <c r="V701" s="395" t="str">
        <f t="shared" si="1083"/>
        <v>No</v>
      </c>
      <c r="W701" s="396">
        <f t="shared" si="1084"/>
        <v>0</v>
      </c>
      <c r="X701" s="394">
        <f>SUM($W$478:W701)/COUNT($W$478:W701)</f>
        <v>0.5044642857142857</v>
      </c>
    </row>
    <row r="702" spans="1:24" x14ac:dyDescent="0.15">
      <c r="A702" s="384">
        <f t="shared" si="1005"/>
        <v>700</v>
      </c>
      <c r="B702" s="401">
        <f t="shared" si="1078"/>
        <v>42726</v>
      </c>
      <c r="D702" s="390">
        <v>69182.941690000007</v>
      </c>
      <c r="E702" s="387">
        <f t="shared" si="1086"/>
        <v>69182.941690000007</v>
      </c>
      <c r="F702" s="387">
        <f t="shared" si="1066"/>
        <v>-263.06575999999768</v>
      </c>
      <c r="G702" s="388">
        <f t="shared" si="1067"/>
        <v>-3.7880616850349824E-3</v>
      </c>
      <c r="H702" s="387">
        <f t="shared" si="1068"/>
        <v>46327.091690000008</v>
      </c>
      <c r="I702" s="388">
        <f t="shared" si="1069"/>
        <v>2.0269249093776871</v>
      </c>
      <c r="L702" s="369">
        <v>2260.96</v>
      </c>
      <c r="M702" s="394">
        <f t="shared" si="1079"/>
        <v>-4.7302644085189804E-4</v>
      </c>
      <c r="N702" s="394">
        <f t="shared" si="1071"/>
        <v>1.4309306726303115</v>
      </c>
      <c r="O702" s="395" t="str">
        <f t="shared" si="1080"/>
        <v>No</v>
      </c>
      <c r="P702" s="396">
        <f t="shared" si="1073"/>
        <v>0</v>
      </c>
      <c r="Q702" s="394">
        <f>SUM($P$4:P702)/COUNT($P$4:P702)</f>
        <v>0.52503576537911301</v>
      </c>
      <c r="S702" s="369">
        <v>19918.88</v>
      </c>
      <c r="T702" s="394">
        <f t="shared" si="1081"/>
        <v>3.3365839505477002E-3</v>
      </c>
      <c r="U702" s="394">
        <f t="shared" si="1082"/>
        <v>1.3208228665172186</v>
      </c>
      <c r="V702" s="395" t="str">
        <f t="shared" si="1083"/>
        <v>No</v>
      </c>
      <c r="W702" s="396">
        <f t="shared" si="1084"/>
        <v>0</v>
      </c>
      <c r="X702" s="394">
        <f>SUM($W$478:W702)/COUNT($W$478:W702)</f>
        <v>0.50222222222222224</v>
      </c>
    </row>
    <row r="703" spans="1:24" x14ac:dyDescent="0.15">
      <c r="A703" s="384">
        <f t="shared" si="1005"/>
        <v>701</v>
      </c>
      <c r="B703" s="401">
        <f t="shared" si="1078"/>
        <v>42733</v>
      </c>
      <c r="D703" s="390">
        <v>68943.256329999975</v>
      </c>
      <c r="E703" s="387">
        <f t="shared" si="1086"/>
        <v>68943.256329999975</v>
      </c>
      <c r="F703" s="387">
        <f t="shared" si="1066"/>
        <v>-239.68536000003223</v>
      </c>
      <c r="G703" s="388">
        <f t="shared" ref="G703" si="1087">(E703/E702)-1</f>
        <v>-3.4645153002315077E-3</v>
      </c>
      <c r="H703" s="387">
        <f t="shared" ref="H703" si="1088">E703-$D$3</f>
        <v>46087.406329999976</v>
      </c>
      <c r="I703" s="388">
        <f t="shared" ref="I703" si="1089">(E703/$D$3)-1</f>
        <v>2.0164380817164962</v>
      </c>
      <c r="L703" s="369">
        <v>2249.2600000000002</v>
      </c>
      <c r="M703" s="394">
        <f t="shared" si="1079"/>
        <v>-5.1747930082796101E-3</v>
      </c>
      <c r="N703" s="394">
        <f t="shared" si="1071"/>
        <v>1.4183511095819714</v>
      </c>
      <c r="O703" s="395" t="str">
        <f t="shared" si="1080"/>
        <v>Yes</v>
      </c>
      <c r="P703" s="396">
        <f t="shared" si="1073"/>
        <v>1</v>
      </c>
      <c r="Q703" s="394">
        <f>SUM($P$4:P703)/COUNT($P$4:P703)</f>
        <v>0.52571428571428569</v>
      </c>
      <c r="S703" s="369">
        <v>19819.78</v>
      </c>
      <c r="T703" s="394">
        <f t="shared" si="1081"/>
        <v>-4.9751793273518086E-3</v>
      </c>
      <c r="U703" s="394">
        <f t="shared" si="1082"/>
        <v>1.3092763565692764</v>
      </c>
      <c r="V703" s="395" t="str">
        <f t="shared" si="1083"/>
        <v>Yes</v>
      </c>
      <c r="W703" s="396">
        <f t="shared" si="1084"/>
        <v>1</v>
      </c>
      <c r="X703" s="394">
        <f>SUM($W$478:W703)/COUNT($W$478:W703)</f>
        <v>0.50442477876106195</v>
      </c>
    </row>
    <row r="704" spans="1:24" x14ac:dyDescent="0.15">
      <c r="A704" s="384">
        <f t="shared" si="1005"/>
        <v>702</v>
      </c>
      <c r="B704" s="401">
        <f t="shared" si="1078"/>
        <v>42740</v>
      </c>
      <c r="D704" s="390">
        <v>69227.478260000004</v>
      </c>
      <c r="E704" s="387">
        <f t="shared" si="1086"/>
        <v>69227.478260000004</v>
      </c>
      <c r="F704" s="387">
        <f t="shared" si="1066"/>
        <v>284.22193000002881</v>
      </c>
      <c r="G704" s="388">
        <f t="shared" ref="G704:G706" si="1090">(E704/E703)-1</f>
        <v>4.1225486745155582E-3</v>
      </c>
      <c r="H704" s="387">
        <f t="shared" ref="H704:H706" si="1091">E704-$D$3</f>
        <v>46371.628260000005</v>
      </c>
      <c r="I704" s="388">
        <f t="shared" ref="I704:I706" si="1092">(E704/$D$3)-1</f>
        <v>2.0288734945320348</v>
      </c>
      <c r="L704" s="369">
        <v>2269</v>
      </c>
      <c r="M704" s="394">
        <f t="shared" si="1079"/>
        <v>8.7762197344902759E-3</v>
      </c>
      <c r="N704" s="394">
        <f t="shared" si="1071"/>
        <v>1.4395750903148117</v>
      </c>
      <c r="O704" s="395" t="str">
        <f t="shared" si="1080"/>
        <v>No</v>
      </c>
      <c r="P704" s="396">
        <f t="shared" si="1073"/>
        <v>0</v>
      </c>
      <c r="Q704" s="394">
        <f>SUM($P$4:P704)/COUNT($P$4:P704)</f>
        <v>0.52496433666191156</v>
      </c>
      <c r="S704" s="369">
        <v>19899.29</v>
      </c>
      <c r="T704" s="394">
        <f t="shared" si="1081"/>
        <v>4.0116489688584167E-3</v>
      </c>
      <c r="U704" s="394">
        <f t="shared" si="1082"/>
        <v>1.3185403626839167</v>
      </c>
      <c r="V704" s="395" t="str">
        <f t="shared" si="1083"/>
        <v>Yes</v>
      </c>
      <c r="W704" s="396">
        <f t="shared" si="1084"/>
        <v>1</v>
      </c>
      <c r="X704" s="394">
        <f>SUM($W$478:W704)/COUNT($W$478:W704)</f>
        <v>0.50660792951541855</v>
      </c>
    </row>
    <row r="705" spans="1:24" x14ac:dyDescent="0.15">
      <c r="A705" s="384">
        <f t="shared" si="1005"/>
        <v>703</v>
      </c>
      <c r="B705" s="401">
        <f t="shared" si="1078"/>
        <v>42747</v>
      </c>
      <c r="D705" s="390">
        <v>69685.396139999997</v>
      </c>
      <c r="E705" s="387">
        <f t="shared" si="1086"/>
        <v>69685.396139999997</v>
      </c>
      <c r="F705" s="387">
        <f t="shared" si="1066"/>
        <v>457.9178799999936</v>
      </c>
      <c r="G705" s="388">
        <f t="shared" si="1090"/>
        <v>6.6146838150045184E-3</v>
      </c>
      <c r="H705" s="387">
        <f t="shared" si="1091"/>
        <v>46829.546139999999</v>
      </c>
      <c r="I705" s="388">
        <f t="shared" si="1092"/>
        <v>2.0489085350140117</v>
      </c>
      <c r="L705" s="369">
        <v>2270.44</v>
      </c>
      <c r="M705" s="394">
        <f t="shared" si="1079"/>
        <v>6.3464081092989844E-4</v>
      </c>
      <c r="N705" s="394">
        <f t="shared" si="1071"/>
        <v>1.4411233442284535</v>
      </c>
      <c r="O705" s="395" t="str">
        <f t="shared" si="1080"/>
        <v>Yes</v>
      </c>
      <c r="P705" s="396">
        <f t="shared" si="1073"/>
        <v>1</v>
      </c>
      <c r="Q705" s="394">
        <f>SUM($P$4:P705)/COUNT($P$4:P705)</f>
        <v>0.52564102564102566</v>
      </c>
      <c r="S705" s="369">
        <v>19891</v>
      </c>
      <c r="T705" s="394">
        <f t="shared" si="1081"/>
        <v>-4.1659777811176024E-4</v>
      </c>
      <c r="U705" s="394">
        <f t="shared" si="1082"/>
        <v>1.3175744639203604</v>
      </c>
      <c r="V705" s="395" t="str">
        <f t="shared" si="1083"/>
        <v>Yes</v>
      </c>
      <c r="W705" s="396">
        <f t="shared" si="1084"/>
        <v>1</v>
      </c>
      <c r="X705" s="394">
        <f>SUM($W$478:W705)/COUNT($W$478:W705)</f>
        <v>0.50877192982456143</v>
      </c>
    </row>
    <row r="706" spans="1:24" x14ac:dyDescent="0.15">
      <c r="A706" s="384">
        <f t="shared" si="1005"/>
        <v>704</v>
      </c>
      <c r="B706" s="401">
        <f t="shared" si="1078"/>
        <v>42754</v>
      </c>
      <c r="D706" s="390">
        <v>69576.497490000009</v>
      </c>
      <c r="E706" s="387">
        <f t="shared" si="1086"/>
        <v>69576.497490000009</v>
      </c>
      <c r="F706" s="387">
        <f t="shared" si="1066"/>
        <v>-108.89864999998827</v>
      </c>
      <c r="G706" s="388">
        <f t="shared" si="1090"/>
        <v>-1.5627183891041563E-3</v>
      </c>
      <c r="H706" s="387">
        <f t="shared" si="1091"/>
        <v>46720.64749000001</v>
      </c>
      <c r="I706" s="388">
        <f t="shared" si="1092"/>
        <v>2.0441439495796487</v>
      </c>
      <c r="L706" s="369">
        <v>2263.69</v>
      </c>
      <c r="M706" s="394">
        <f t="shared" si="1079"/>
        <v>-2.9729920191681192E-3</v>
      </c>
      <c r="N706" s="394">
        <f t="shared" si="1071"/>
        <v>1.4338659040082571</v>
      </c>
      <c r="O706" s="395" t="str">
        <f t="shared" si="1080"/>
        <v>Yes</v>
      </c>
      <c r="P706" s="396">
        <f t="shared" si="1073"/>
        <v>1</v>
      </c>
      <c r="Q706" s="394">
        <f>SUM($P$4:P706)/COUNT($P$4:P706)</f>
        <v>0.52631578947368418</v>
      </c>
      <c r="S706" s="369">
        <v>19732.400000000001</v>
      </c>
      <c r="T706" s="394">
        <f t="shared" si="1081"/>
        <v>-7.9734553315569112E-3</v>
      </c>
      <c r="U706" s="394">
        <f t="shared" si="1082"/>
        <v>1.2990953874547344</v>
      </c>
      <c r="V706" s="395" t="str">
        <f t="shared" si="1083"/>
        <v>Yes</v>
      </c>
      <c r="W706" s="396">
        <f t="shared" si="1084"/>
        <v>1</v>
      </c>
      <c r="X706" s="394">
        <f>SUM($W$478:W706)/COUNT($W$478:W706)</f>
        <v>0.51091703056768556</v>
      </c>
    </row>
    <row r="707" spans="1:24" x14ac:dyDescent="0.15">
      <c r="A707" s="384">
        <f t="shared" si="1005"/>
        <v>705</v>
      </c>
      <c r="B707" s="401">
        <f t="shared" si="1078"/>
        <v>42761</v>
      </c>
      <c r="D707" s="390">
        <v>70883.183770000003</v>
      </c>
      <c r="E707" s="387">
        <f t="shared" si="1086"/>
        <v>70883.183770000003</v>
      </c>
      <c r="F707" s="387">
        <f t="shared" si="1066"/>
        <v>1306.6862799999944</v>
      </c>
      <c r="G707" s="388">
        <f t="shared" ref="G707:G721" si="1093">(E707/E706)-1</f>
        <v>1.8780569978932959E-2</v>
      </c>
      <c r="H707" s="387">
        <f t="shared" ref="H707:H721" si="1094">E707-$D$3</f>
        <v>48027.333770000005</v>
      </c>
      <c r="I707" s="388">
        <f t="shared" ref="I707:I721" si="1095">(E707/$D$3)-1</f>
        <v>2.1013147080506744</v>
      </c>
      <c r="L707" s="369">
        <v>2296.6799999999998</v>
      </c>
      <c r="M707" s="394">
        <f t="shared" ref="M707" si="1096">L707/L706-1</f>
        <v>1.4573550265274848E-2</v>
      </c>
      <c r="N707" s="394">
        <f t="shared" ref="N707" si="1097">(L707/$L$3)-1</f>
        <v>1.4693359710992602</v>
      </c>
      <c r="O707" s="395" t="str">
        <f t="shared" ref="O707" si="1098">IF(G707&gt;M707,"Yes","No")</f>
        <v>Yes</v>
      </c>
      <c r="P707" s="396">
        <f t="shared" ref="P707" si="1099">IF(O707="Yes",1,0)</f>
        <v>1</v>
      </c>
      <c r="Q707" s="394">
        <f>SUM($P$4:P707)/COUNT($P$4:P707)</f>
        <v>0.52698863636363635</v>
      </c>
      <c r="S707" s="369">
        <v>20100.91</v>
      </c>
      <c r="T707" s="394">
        <f t="shared" ref="T707" si="1100">S707/S706-1</f>
        <v>1.867537653807938E-2</v>
      </c>
      <c r="U707" s="394">
        <f t="shared" ref="U707" si="1101">(S707/$S$3)-1</f>
        <v>1.3420318595124132</v>
      </c>
      <c r="V707" s="395" t="str">
        <f t="shared" ref="V707" si="1102">IF(G707&gt;T707,"Yes","No")</f>
        <v>Yes</v>
      </c>
      <c r="W707" s="396">
        <f t="shared" ref="W707" si="1103">IF(V707="Yes",1,0)</f>
        <v>1</v>
      </c>
      <c r="X707" s="394">
        <f>SUM($W$478:W707)/COUNT($W$478:W707)</f>
        <v>0.5130434782608696</v>
      </c>
    </row>
    <row r="708" spans="1:24" x14ac:dyDescent="0.15">
      <c r="A708" s="384">
        <f t="shared" si="1005"/>
        <v>706</v>
      </c>
      <c r="B708" s="401">
        <f t="shared" si="1078"/>
        <v>42768</v>
      </c>
      <c r="D708" s="390">
        <v>70200.152429999987</v>
      </c>
      <c r="E708" s="387">
        <v>70200.152429999987</v>
      </c>
      <c r="F708" s="387">
        <f t="shared" si="1066"/>
        <v>-683.03134000001592</v>
      </c>
      <c r="G708" s="388">
        <f t="shared" si="1093"/>
        <v>-9.6360138423846609E-3</v>
      </c>
      <c r="H708" s="387">
        <f t="shared" si="1094"/>
        <v>47344.302429999989</v>
      </c>
      <c r="I708" s="388">
        <f t="shared" si="1095"/>
        <v>2.0714303965943071</v>
      </c>
      <c r="L708" s="369">
        <v>2280.85</v>
      </c>
      <c r="M708" s="394">
        <f t="shared" ref="M708:M721" si="1104">L708/L707-1</f>
        <v>-6.8925579532194137E-3</v>
      </c>
      <c r="N708" s="394">
        <f t="shared" ref="N708:N721" si="1105">(L708/$L$3)-1</f>
        <v>1.4523159298124892</v>
      </c>
      <c r="O708" s="395" t="str">
        <f t="shared" ref="O708:O721" si="1106">IF(G708&gt;M708,"Yes","No")</f>
        <v>No</v>
      </c>
      <c r="P708" s="396">
        <f t="shared" ref="P708:P721" si="1107">IF(O708="Yes",1,0)</f>
        <v>0</v>
      </c>
      <c r="Q708" s="394">
        <f>SUM($P$4:P708)/COUNT($P$4:P708)</f>
        <v>0.52624113475177303</v>
      </c>
      <c r="S708" s="369">
        <v>19884.91</v>
      </c>
      <c r="T708" s="394">
        <f t="shared" ref="T708:T721" si="1108">S708/S707-1</f>
        <v>-1.0745782156131201E-2</v>
      </c>
      <c r="U708" s="394">
        <f t="shared" ref="U708:U721" si="1109">(S708/$S$3)-1</f>
        <v>1.3168648953473738</v>
      </c>
      <c r="V708" s="395" t="str">
        <f t="shared" ref="V708:V721" si="1110">IF(G708&gt;T708,"Yes","No")</f>
        <v>Yes</v>
      </c>
      <c r="W708" s="396">
        <f t="shared" ref="W708:W721" si="1111">IF(V708="Yes",1,0)</f>
        <v>1</v>
      </c>
      <c r="X708" s="394">
        <f>SUM($W$478:W708)/COUNT($W$478:W708)</f>
        <v>0.51515151515151514</v>
      </c>
    </row>
    <row r="709" spans="1:24" x14ac:dyDescent="0.15">
      <c r="A709" s="384">
        <f t="shared" ref="A709:A772" si="1112">A708+1</f>
        <v>707</v>
      </c>
      <c r="B709" s="401">
        <f t="shared" si="1078"/>
        <v>42775</v>
      </c>
      <c r="D709" s="390">
        <v>70487.202109999998</v>
      </c>
      <c r="E709" s="387">
        <v>70487.202109999998</v>
      </c>
      <c r="F709" s="387">
        <f t="shared" si="1066"/>
        <v>287.04968000001099</v>
      </c>
      <c r="G709" s="388">
        <f t="shared" si="1093"/>
        <v>4.0890179018662209E-3</v>
      </c>
      <c r="H709" s="387">
        <f t="shared" si="1094"/>
        <v>47631.35211</v>
      </c>
      <c r="I709" s="388">
        <f t="shared" si="1095"/>
        <v>2.0839895304703173</v>
      </c>
      <c r="L709" s="369">
        <v>2307.87</v>
      </c>
      <c r="M709" s="394">
        <f t="shared" si="1104"/>
        <v>1.1846460749282084E-2</v>
      </c>
      <c r="N709" s="394">
        <f t="shared" si="1105"/>
        <v>1.4813671942198519</v>
      </c>
      <c r="O709" s="395" t="str">
        <f t="shared" si="1106"/>
        <v>No</v>
      </c>
      <c r="P709" s="396">
        <f t="shared" si="1107"/>
        <v>0</v>
      </c>
      <c r="Q709" s="394">
        <f>SUM($P$4:P709)/COUNT($P$4:P709)</f>
        <v>0.5254957507082153</v>
      </c>
      <c r="S709" s="369">
        <v>20172.400000000001</v>
      </c>
      <c r="T709" s="394">
        <f t="shared" si="1108"/>
        <v>1.445769681632969E-2</v>
      </c>
      <c r="U709" s="394">
        <f t="shared" si="1109"/>
        <v>1.3503614255687038</v>
      </c>
      <c r="V709" s="395" t="str">
        <f t="shared" si="1110"/>
        <v>No</v>
      </c>
      <c r="W709" s="396">
        <f t="shared" si="1111"/>
        <v>0</v>
      </c>
      <c r="X709" s="394">
        <f>SUM($W$478:W709)/COUNT($W$478:W709)</f>
        <v>0.51293103448275867</v>
      </c>
    </row>
    <row r="710" spans="1:24" x14ac:dyDescent="0.15">
      <c r="A710" s="384">
        <f t="shared" si="1112"/>
        <v>708</v>
      </c>
      <c r="B710" s="401">
        <f t="shared" si="1078"/>
        <v>42782</v>
      </c>
      <c r="D710" s="390">
        <v>71609.417889999997</v>
      </c>
      <c r="E710" s="387">
        <v>71609.417889999997</v>
      </c>
      <c r="F710" s="387">
        <f t="shared" si="1066"/>
        <v>1122.2157799999986</v>
      </c>
      <c r="G710" s="388">
        <f t="shared" si="1093"/>
        <v>1.5920844442778526E-2</v>
      </c>
      <c r="H710" s="387">
        <f t="shared" si="1094"/>
        <v>48753.567889999998</v>
      </c>
      <c r="I710" s="388">
        <f t="shared" si="1095"/>
        <v>2.1330892480480927</v>
      </c>
      <c r="L710" s="369">
        <v>2347.2199999999998</v>
      </c>
      <c r="M710" s="394">
        <f t="shared" si="1104"/>
        <v>1.7050353789424877E-2</v>
      </c>
      <c r="N710" s="394">
        <f t="shared" si="1105"/>
        <v>1.5236753827627729</v>
      </c>
      <c r="O710" s="395" t="str">
        <f t="shared" si="1106"/>
        <v>No</v>
      </c>
      <c r="P710" s="396">
        <f t="shared" si="1107"/>
        <v>0</v>
      </c>
      <c r="Q710" s="394">
        <f>SUM($P$4:P710)/COUNT($P$4:P710)</f>
        <v>0.52475247524752477</v>
      </c>
      <c r="S710" s="369">
        <v>20619.77</v>
      </c>
      <c r="T710" s="394">
        <f t="shared" si="1108"/>
        <v>2.217733140330358E-2</v>
      </c>
      <c r="U710" s="394">
        <f t="shared" si="1109"/>
        <v>1.4024861698210813</v>
      </c>
      <c r="V710" s="395" t="str">
        <f t="shared" si="1110"/>
        <v>No</v>
      </c>
      <c r="W710" s="396">
        <f t="shared" si="1111"/>
        <v>0</v>
      </c>
      <c r="X710" s="394">
        <f>SUM($W$478:W710)/COUNT($W$478:W710)</f>
        <v>0.51072961373390557</v>
      </c>
    </row>
    <row r="711" spans="1:24" x14ac:dyDescent="0.15">
      <c r="A711" s="384">
        <f t="shared" si="1112"/>
        <v>709</v>
      </c>
      <c r="B711" s="401">
        <f t="shared" si="1078"/>
        <v>42789</v>
      </c>
      <c r="D711" s="390">
        <v>72149.241020000001</v>
      </c>
      <c r="E711" s="387">
        <v>72149.241020000001</v>
      </c>
      <c r="F711" s="387">
        <f t="shared" si="1066"/>
        <v>539.82313000000431</v>
      </c>
      <c r="G711" s="388">
        <f t="shared" si="1093"/>
        <v>7.5384376232359163E-3</v>
      </c>
      <c r="H711" s="387">
        <f t="shared" si="1094"/>
        <v>49293.391020000003</v>
      </c>
      <c r="I711" s="388">
        <f t="shared" si="1095"/>
        <v>2.1567078459125346</v>
      </c>
      <c r="L711" s="369">
        <v>2363.81</v>
      </c>
      <c r="M711" s="394">
        <f t="shared" si="1104"/>
        <v>7.0679356856195863E-3</v>
      </c>
      <c r="N711" s="394">
        <f t="shared" si="1105"/>
        <v>1.5415125580595217</v>
      </c>
      <c r="O711" s="395" t="str">
        <f t="shared" si="1106"/>
        <v>Yes</v>
      </c>
      <c r="P711" s="396">
        <f t="shared" si="1107"/>
        <v>1</v>
      </c>
      <c r="Q711" s="394">
        <f>SUM($P$4:P711)/COUNT($P$4:P711)</f>
        <v>0.52542372881355937</v>
      </c>
      <c r="S711" s="369">
        <v>20810.32</v>
      </c>
      <c r="T711" s="394">
        <f t="shared" si="1108"/>
        <v>9.2411312056341899E-3</v>
      </c>
      <c r="U711" s="394">
        <f t="shared" si="1109"/>
        <v>1.4246878597361197</v>
      </c>
      <c r="V711" s="395" t="str">
        <f t="shared" si="1110"/>
        <v>No</v>
      </c>
      <c r="W711" s="396">
        <f t="shared" si="1111"/>
        <v>0</v>
      </c>
      <c r="X711" s="394">
        <f>SUM($W$478:W711)/COUNT($W$478:W711)</f>
        <v>0.50854700854700852</v>
      </c>
    </row>
    <row r="712" spans="1:24" x14ac:dyDescent="0.15">
      <c r="A712" s="384">
        <f t="shared" si="1112"/>
        <v>710</v>
      </c>
      <c r="B712" s="401">
        <f t="shared" si="1078"/>
        <v>42796</v>
      </c>
      <c r="D712" s="390">
        <v>72696.368619999994</v>
      </c>
      <c r="E712" s="387">
        <v>72696.368619999994</v>
      </c>
      <c r="F712" s="387">
        <f t="shared" si="1066"/>
        <v>547.12759999999253</v>
      </c>
      <c r="G712" s="388">
        <f t="shared" si="1093"/>
        <v>7.5832758912643961E-3</v>
      </c>
      <c r="H712" s="387">
        <f t="shared" si="1094"/>
        <v>49840.518619999995</v>
      </c>
      <c r="I712" s="388">
        <f t="shared" si="1095"/>
        <v>2.1806460324162087</v>
      </c>
      <c r="L712" s="369">
        <v>2381.92</v>
      </c>
      <c r="M712" s="394">
        <f t="shared" si="1104"/>
        <v>7.6613602616115717E-3</v>
      </c>
      <c r="N712" s="394">
        <f t="shared" si="1105"/>
        <v>1.5609840013762257</v>
      </c>
      <c r="O712" s="395" t="str">
        <f t="shared" si="1106"/>
        <v>No</v>
      </c>
      <c r="P712" s="396">
        <f t="shared" si="1107"/>
        <v>0</v>
      </c>
      <c r="Q712" s="394">
        <f>SUM($P$4:P712)/COUNT($P$4:P712)</f>
        <v>0.52468265162200278</v>
      </c>
      <c r="S712" s="369">
        <v>21002.97</v>
      </c>
      <c r="T712" s="394">
        <f t="shared" si="1108"/>
        <v>9.2574261231928023E-3</v>
      </c>
      <c r="U712" s="394">
        <f t="shared" si="1109"/>
        <v>1.4471342284694293</v>
      </c>
      <c r="V712" s="395" t="str">
        <f t="shared" si="1110"/>
        <v>No</v>
      </c>
      <c r="W712" s="396">
        <f t="shared" si="1111"/>
        <v>0</v>
      </c>
      <c r="X712" s="394">
        <f>SUM($W$478:W712)/COUNT($W$478:W712)</f>
        <v>0.50638297872340421</v>
      </c>
    </row>
    <row r="713" spans="1:24" x14ac:dyDescent="0.15">
      <c r="A713" s="384">
        <f t="shared" si="1112"/>
        <v>711</v>
      </c>
      <c r="B713" s="401">
        <f t="shared" si="1078"/>
        <v>42803</v>
      </c>
      <c r="D713" s="390">
        <v>72071.343610000011</v>
      </c>
      <c r="E713" s="387">
        <v>72071.343610000011</v>
      </c>
      <c r="F713" s="387">
        <f t="shared" si="1066"/>
        <v>-625.02500999998301</v>
      </c>
      <c r="G713" s="388">
        <f t="shared" si="1093"/>
        <v>-8.5977473409590832E-3</v>
      </c>
      <c r="H713" s="387">
        <f t="shared" si="1094"/>
        <v>49215.493610000012</v>
      </c>
      <c r="I713" s="388">
        <f t="shared" si="1095"/>
        <v>2.15329964144847</v>
      </c>
      <c r="L713" s="369">
        <v>2364.87</v>
      </c>
      <c r="M713" s="394">
        <f t="shared" si="1104"/>
        <v>-7.1580909518372815E-3</v>
      </c>
      <c r="N713" s="394">
        <f t="shared" si="1105"/>
        <v>1.5426522449681745</v>
      </c>
      <c r="O713" s="395" t="str">
        <f t="shared" si="1106"/>
        <v>No</v>
      </c>
      <c r="P713" s="396">
        <f t="shared" si="1107"/>
        <v>0</v>
      </c>
      <c r="Q713" s="394">
        <f>SUM($P$4:P713)/COUNT($P$4:P713)</f>
        <v>0.52394366197183095</v>
      </c>
      <c r="S713" s="369">
        <v>20858.189999999999</v>
      </c>
      <c r="T713" s="394">
        <f t="shared" si="1108"/>
        <v>-6.8933108031865586E-3</v>
      </c>
      <c r="U713" s="394">
        <f t="shared" si="1109"/>
        <v>1.4302653716554734</v>
      </c>
      <c r="V713" s="395" t="str">
        <f t="shared" si="1110"/>
        <v>No</v>
      </c>
      <c r="W713" s="396">
        <f t="shared" si="1111"/>
        <v>0</v>
      </c>
      <c r="X713" s="394">
        <f>SUM($W$478:W713)/COUNT($W$478:W713)</f>
        <v>0.50423728813559321</v>
      </c>
    </row>
    <row r="714" spans="1:24" x14ac:dyDescent="0.15">
      <c r="A714" s="384">
        <f t="shared" si="1112"/>
        <v>712</v>
      </c>
      <c r="B714" s="401">
        <f t="shared" si="1078"/>
        <v>42810</v>
      </c>
      <c r="D714" s="390">
        <v>72558.782149999999</v>
      </c>
      <c r="E714" s="387">
        <v>72558.782149999999</v>
      </c>
      <c r="F714" s="387">
        <f t="shared" ref="F714:F721" si="1113">E714-E713</f>
        <v>487.43853999998828</v>
      </c>
      <c r="G714" s="388">
        <f t="shared" si="1093"/>
        <v>6.7632781017330501E-3</v>
      </c>
      <c r="H714" s="387">
        <f t="shared" si="1094"/>
        <v>49702.932150000001</v>
      </c>
      <c r="I714" s="388">
        <f t="shared" si="1095"/>
        <v>2.1746262838616812</v>
      </c>
      <c r="L714" s="369">
        <v>2381.38</v>
      </c>
      <c r="M714" s="394">
        <f t="shared" si="1104"/>
        <v>6.9813562690550501E-3</v>
      </c>
      <c r="N714" s="394">
        <f t="shared" si="1105"/>
        <v>1.5604034061586098</v>
      </c>
      <c r="O714" s="395" t="str">
        <f t="shared" si="1106"/>
        <v>No</v>
      </c>
      <c r="P714" s="396">
        <f t="shared" si="1107"/>
        <v>0</v>
      </c>
      <c r="Q714" s="394">
        <f>SUM($P$4:P714)/COUNT($P$4:P714)</f>
        <v>0.52320675105485237</v>
      </c>
      <c r="S714" s="369">
        <v>20934.55</v>
      </c>
      <c r="T714" s="394">
        <f t="shared" si="1108"/>
        <v>3.6609120925641392E-3</v>
      </c>
      <c r="U714" s="394">
        <f t="shared" si="1109"/>
        <v>1.4391623595427068</v>
      </c>
      <c r="V714" s="395" t="str">
        <f t="shared" si="1110"/>
        <v>Yes</v>
      </c>
      <c r="W714" s="396">
        <f t="shared" si="1111"/>
        <v>1</v>
      </c>
      <c r="X714" s="394">
        <f>SUM($W$478:W714)/COUNT($W$478:W714)</f>
        <v>0.50632911392405067</v>
      </c>
    </row>
    <row r="715" spans="1:24" x14ac:dyDescent="0.15">
      <c r="A715" s="384">
        <f t="shared" si="1112"/>
        <v>713</v>
      </c>
      <c r="B715" s="401">
        <f t="shared" si="1078"/>
        <v>42817</v>
      </c>
      <c r="D715" s="390">
        <v>71885.169279999987</v>
      </c>
      <c r="E715" s="387">
        <v>71885.169279999987</v>
      </c>
      <c r="F715" s="387">
        <f t="shared" si="1113"/>
        <v>-673.61287000001175</v>
      </c>
      <c r="G715" s="388">
        <f t="shared" si="1093"/>
        <v>-9.2836848971287189E-3</v>
      </c>
      <c r="H715" s="387">
        <f t="shared" si="1094"/>
        <v>49029.319279999989</v>
      </c>
      <c r="I715" s="388">
        <f t="shared" si="1095"/>
        <v>2.1451540537761664</v>
      </c>
      <c r="L715" s="369">
        <v>2345.96</v>
      </c>
      <c r="M715" s="394">
        <f t="shared" si="1104"/>
        <v>-1.4873728678329368E-2</v>
      </c>
      <c r="N715" s="394">
        <f t="shared" si="1105"/>
        <v>1.5223206605883366</v>
      </c>
      <c r="O715" s="395" t="str">
        <f t="shared" si="1106"/>
        <v>Yes</v>
      </c>
      <c r="P715" s="396">
        <f t="shared" si="1107"/>
        <v>1</v>
      </c>
      <c r="Q715" s="394">
        <f>SUM($P$4:P715)/COUNT($P$4:P715)</f>
        <v>0.523876404494382</v>
      </c>
      <c r="S715" s="369">
        <v>20656.580000000002</v>
      </c>
      <c r="T715" s="394">
        <f t="shared" si="1108"/>
        <v>-1.3278049922257562E-2</v>
      </c>
      <c r="U715" s="394">
        <f t="shared" si="1109"/>
        <v>1.4067750399642072</v>
      </c>
      <c r="V715" s="395" t="str">
        <f t="shared" si="1110"/>
        <v>Yes</v>
      </c>
      <c r="W715" s="396">
        <f t="shared" si="1111"/>
        <v>1</v>
      </c>
      <c r="X715" s="394">
        <f>SUM($W$478:W715)/COUNT($W$478:W715)</f>
        <v>0.50840336134453779</v>
      </c>
    </row>
    <row r="716" spans="1:24" x14ac:dyDescent="0.15">
      <c r="A716" s="384">
        <f t="shared" si="1112"/>
        <v>714</v>
      </c>
      <c r="B716" s="401">
        <f t="shared" si="1078"/>
        <v>42824</v>
      </c>
      <c r="D716" s="390">
        <v>72384.473790000004</v>
      </c>
      <c r="E716" s="387">
        <v>72384.473790000004</v>
      </c>
      <c r="F716" s="387">
        <f t="shared" si="1113"/>
        <v>499.30451000001631</v>
      </c>
      <c r="G716" s="388">
        <f t="shared" si="1093"/>
        <v>6.9458626167404613E-3</v>
      </c>
      <c r="H716" s="387">
        <f t="shared" si="1094"/>
        <v>49528.623790000005</v>
      </c>
      <c r="I716" s="388">
        <f t="shared" si="1095"/>
        <v>2.16699986174218</v>
      </c>
      <c r="L716" s="369">
        <v>2368.06</v>
      </c>
      <c r="M716" s="394">
        <f t="shared" si="1104"/>
        <v>9.4204504765640351E-3</v>
      </c>
      <c r="N716" s="394">
        <f t="shared" si="1105"/>
        <v>1.546082057457423</v>
      </c>
      <c r="O716" s="395" t="str">
        <f t="shared" si="1106"/>
        <v>No</v>
      </c>
      <c r="P716" s="396">
        <f t="shared" si="1107"/>
        <v>0</v>
      </c>
      <c r="Q716" s="394">
        <f>SUM($P$4:P716)/COUNT($P$4:P716)</f>
        <v>0.52314165497896215</v>
      </c>
      <c r="S716" s="369">
        <v>20728.490000000002</v>
      </c>
      <c r="T716" s="394">
        <f t="shared" si="1108"/>
        <v>3.4812151866379093E-3</v>
      </c>
      <c r="U716" s="394">
        <f t="shared" si="1109"/>
        <v>1.4151535417841514</v>
      </c>
      <c r="V716" s="395" t="str">
        <f t="shared" si="1110"/>
        <v>Yes</v>
      </c>
      <c r="W716" s="396">
        <f t="shared" si="1111"/>
        <v>1</v>
      </c>
      <c r="X716" s="394">
        <f>SUM($W$478:W716)/COUNT($W$478:W716)</f>
        <v>0.5104602510460251</v>
      </c>
    </row>
    <row r="717" spans="1:24" x14ac:dyDescent="0.15">
      <c r="A717" s="384">
        <f t="shared" si="1112"/>
        <v>715</v>
      </c>
      <c r="B717" s="401">
        <f t="shared" ref="B717:B780" si="1114">B716+7</f>
        <v>42831</v>
      </c>
      <c r="D717" s="390">
        <v>72138.716619999992</v>
      </c>
      <c r="E717" s="387">
        <v>72138.716619999992</v>
      </c>
      <c r="F717" s="387">
        <f t="shared" si="1113"/>
        <v>-245.75717000001168</v>
      </c>
      <c r="G717" s="388">
        <f t="shared" si="1093"/>
        <v>-3.395164144081475E-3</v>
      </c>
      <c r="H717" s="387">
        <f t="shared" si="1094"/>
        <v>49282.866619999993</v>
      </c>
      <c r="I717" s="388">
        <f t="shared" si="1095"/>
        <v>2.1562473773672823</v>
      </c>
      <c r="L717" s="369">
        <v>2357.4899999999998</v>
      </c>
      <c r="M717" s="394">
        <f t="shared" si="1104"/>
        <v>-4.4635693352365058E-3</v>
      </c>
      <c r="N717" s="394">
        <f t="shared" si="1105"/>
        <v>1.5347174436607602</v>
      </c>
      <c r="O717" s="395" t="str">
        <f t="shared" si="1106"/>
        <v>Yes</v>
      </c>
      <c r="P717" s="396">
        <f t="shared" si="1107"/>
        <v>1</v>
      </c>
      <c r="Q717" s="394">
        <f>SUM($P$4:P717)/COUNT($P$4:P717)</f>
        <v>0.52380952380952384</v>
      </c>
      <c r="S717" s="369">
        <v>20662.95</v>
      </c>
      <c r="T717" s="394">
        <f t="shared" si="1108"/>
        <v>-3.1618318555766134E-3</v>
      </c>
      <c r="U717" s="394">
        <f t="shared" si="1109"/>
        <v>1.4075172323796297</v>
      </c>
      <c r="V717" s="395" t="str">
        <f t="shared" si="1110"/>
        <v>No</v>
      </c>
      <c r="W717" s="396">
        <f t="shared" si="1111"/>
        <v>0</v>
      </c>
      <c r="X717" s="394">
        <f>SUM($W$478:W717)/COUNT($W$478:W717)</f>
        <v>0.5083333333333333</v>
      </c>
    </row>
    <row r="718" spans="1:24" x14ac:dyDescent="0.15">
      <c r="A718" s="384">
        <f t="shared" si="1112"/>
        <v>716</v>
      </c>
      <c r="B718" s="401">
        <f t="shared" si="1114"/>
        <v>42838</v>
      </c>
      <c r="D718" s="390">
        <v>71334.23315</v>
      </c>
      <c r="E718" s="387">
        <v>71334.23315</v>
      </c>
      <c r="F718" s="387">
        <f t="shared" si="1113"/>
        <v>-804.48346999999194</v>
      </c>
      <c r="G718" s="388">
        <f t="shared" si="1093"/>
        <v>-1.1151896064878875E-2</v>
      </c>
      <c r="H718" s="387">
        <f t="shared" si="1094"/>
        <v>48478.383150000001</v>
      </c>
      <c r="I718" s="388">
        <f t="shared" si="1095"/>
        <v>2.1210492346598357</v>
      </c>
      <c r="L718" s="369">
        <v>2328.9499999999998</v>
      </c>
      <c r="M718" s="394">
        <f t="shared" si="1104"/>
        <v>-1.2106095890120461E-2</v>
      </c>
      <c r="N718" s="394">
        <f t="shared" si="1105"/>
        <v>1.5040319112334419</v>
      </c>
      <c r="O718" s="395" t="str">
        <f t="shared" si="1106"/>
        <v>Yes</v>
      </c>
      <c r="P718" s="396">
        <f t="shared" si="1107"/>
        <v>1</v>
      </c>
      <c r="Q718" s="394">
        <f>SUM($P$4:P718)/COUNT($P$4:P718)</f>
        <v>0.52447552447552448</v>
      </c>
      <c r="S718" s="369">
        <v>20453.25</v>
      </c>
      <c r="T718" s="394">
        <f t="shared" si="1108"/>
        <v>-1.0148599304552364E-2</v>
      </c>
      <c r="U718" s="394">
        <f t="shared" si="1109"/>
        <v>1.3830843046694037</v>
      </c>
      <c r="V718" s="395" t="str">
        <f t="shared" si="1110"/>
        <v>No</v>
      </c>
      <c r="W718" s="396">
        <f t="shared" si="1111"/>
        <v>0</v>
      </c>
      <c r="X718" s="394">
        <f>SUM($W$478:W718)/COUNT($W$478:W718)</f>
        <v>0.50622406639004147</v>
      </c>
    </row>
    <row r="719" spans="1:24" x14ac:dyDescent="0.15">
      <c r="A719" s="384">
        <f t="shared" si="1112"/>
        <v>717</v>
      </c>
      <c r="B719" s="401">
        <f t="shared" si="1114"/>
        <v>42845</v>
      </c>
      <c r="D719" s="390">
        <v>72413.315100000007</v>
      </c>
      <c r="E719" s="387">
        <v>72413.315100000007</v>
      </c>
      <c r="F719" s="387">
        <f t="shared" si="1113"/>
        <v>1079.0819500000071</v>
      </c>
      <c r="G719" s="388">
        <f t="shared" si="1093"/>
        <v>1.5127126238687394E-2</v>
      </c>
      <c r="H719" s="387">
        <f t="shared" si="1094"/>
        <v>49557.465100000009</v>
      </c>
      <c r="I719" s="388">
        <f t="shared" si="1095"/>
        <v>2.1682617404296938</v>
      </c>
      <c r="L719" s="369">
        <v>2355.84</v>
      </c>
      <c r="M719" s="394">
        <f t="shared" si="1104"/>
        <v>1.1545975654264851E-2</v>
      </c>
      <c r="N719" s="394">
        <f t="shared" si="1105"/>
        <v>1.532943402718046</v>
      </c>
      <c r="O719" s="395" t="str">
        <f t="shared" si="1106"/>
        <v>Yes</v>
      </c>
      <c r="P719" s="396">
        <f t="shared" si="1107"/>
        <v>1</v>
      </c>
      <c r="Q719" s="394">
        <f>SUM($P$4:P719)/COUNT($P$4:P719)</f>
        <v>0.52513966480446927</v>
      </c>
      <c r="S719" s="369">
        <v>20578.71</v>
      </c>
      <c r="T719" s="394">
        <f t="shared" si="1108"/>
        <v>6.1339884859374916E-3</v>
      </c>
      <c r="U719" s="394">
        <f t="shared" si="1109"/>
        <v>1.3977021163552643</v>
      </c>
      <c r="V719" s="395" t="str">
        <f t="shared" si="1110"/>
        <v>Yes</v>
      </c>
      <c r="W719" s="396">
        <f t="shared" si="1111"/>
        <v>1</v>
      </c>
      <c r="X719" s="394">
        <f>SUM($W$478:W719)/COUNT($W$478:W719)</f>
        <v>0.50826446280991733</v>
      </c>
    </row>
    <row r="720" spans="1:24" x14ac:dyDescent="0.15">
      <c r="A720" s="384">
        <f t="shared" si="1112"/>
        <v>718</v>
      </c>
      <c r="B720" s="401">
        <f t="shared" si="1114"/>
        <v>42852</v>
      </c>
      <c r="D720" s="390">
        <v>74099.151850000009</v>
      </c>
      <c r="E720" s="387">
        <v>74099.151850000009</v>
      </c>
      <c r="F720" s="387">
        <f t="shared" si="1113"/>
        <v>1685.8367500000022</v>
      </c>
      <c r="G720" s="388">
        <f t="shared" si="1093"/>
        <v>2.3280756414368442E-2</v>
      </c>
      <c r="H720" s="387">
        <f t="shared" si="1094"/>
        <v>51243.301850000011</v>
      </c>
      <c r="I720" s="388">
        <f t="shared" si="1095"/>
        <v>2.2420212702655999</v>
      </c>
      <c r="L720" s="369">
        <v>2388.77</v>
      </c>
      <c r="M720" s="394">
        <f t="shared" si="1104"/>
        <v>1.3978029068187903E-2</v>
      </c>
      <c r="N720" s="394">
        <f t="shared" si="1105"/>
        <v>1.5683489592293136</v>
      </c>
      <c r="O720" s="395" t="str">
        <f t="shared" si="1106"/>
        <v>Yes</v>
      </c>
      <c r="P720" s="396">
        <f t="shared" si="1107"/>
        <v>1</v>
      </c>
      <c r="Q720" s="394">
        <f>SUM($P$4:P720)/COUNT($P$4:P720)</f>
        <v>0.52580195258019524</v>
      </c>
      <c r="S720" s="369">
        <v>20981.33</v>
      </c>
      <c r="T720" s="394">
        <f t="shared" si="1108"/>
        <v>1.9564880403096341E-2</v>
      </c>
      <c r="U720" s="394">
        <f t="shared" si="1109"/>
        <v>1.4446128715040061</v>
      </c>
      <c r="V720" s="395" t="str">
        <f t="shared" si="1110"/>
        <v>Yes</v>
      </c>
      <c r="W720" s="396">
        <f t="shared" si="1111"/>
        <v>1</v>
      </c>
      <c r="X720" s="394">
        <f>SUM($W$478:W720)/COUNT($W$478:W720)</f>
        <v>0.51028806584362141</v>
      </c>
    </row>
    <row r="721" spans="1:24" x14ac:dyDescent="0.15">
      <c r="A721" s="384">
        <f t="shared" si="1112"/>
        <v>719</v>
      </c>
      <c r="B721" s="401">
        <f t="shared" si="1114"/>
        <v>42859</v>
      </c>
      <c r="D721" s="390">
        <v>74320.776440000001</v>
      </c>
      <c r="E721" s="387">
        <v>74320.776440000001</v>
      </c>
      <c r="F721" s="387">
        <f t="shared" si="1113"/>
        <v>221.62458999999217</v>
      </c>
      <c r="G721" s="388">
        <f t="shared" si="1093"/>
        <v>2.990919389315394E-3</v>
      </c>
      <c r="H721" s="387">
        <f t="shared" si="1094"/>
        <v>51464.926440000003</v>
      </c>
      <c r="I721" s="388">
        <f t="shared" si="1095"/>
        <v>2.2517178945434102</v>
      </c>
      <c r="L721" s="369">
        <v>2389.52</v>
      </c>
      <c r="M721" s="394">
        <f t="shared" si="1104"/>
        <v>3.1396911381165182E-4</v>
      </c>
      <c r="N721" s="394">
        <f t="shared" si="1105"/>
        <v>1.569155341476002</v>
      </c>
      <c r="O721" s="395" t="str">
        <f t="shared" si="1106"/>
        <v>Yes</v>
      </c>
      <c r="P721" s="396">
        <f t="shared" si="1107"/>
        <v>1</v>
      </c>
      <c r="Q721" s="394">
        <f>SUM($P$4:P721)/COUNT($P$4:P721)</f>
        <v>0.52646239554317553</v>
      </c>
      <c r="S721" s="369">
        <v>20951.47</v>
      </c>
      <c r="T721" s="394">
        <f t="shared" si="1108"/>
        <v>-1.4231700278295456E-3</v>
      </c>
      <c r="U721" s="394">
        <f t="shared" si="1109"/>
        <v>1.4411337717356352</v>
      </c>
      <c r="V721" s="395" t="str">
        <f t="shared" si="1110"/>
        <v>Yes</v>
      </c>
      <c r="W721" s="396">
        <f t="shared" si="1111"/>
        <v>1</v>
      </c>
      <c r="X721" s="394">
        <f>SUM($W$478:W721)/COUNT($W$478:W721)</f>
        <v>0.51229508196721307</v>
      </c>
    </row>
    <row r="722" spans="1:24" x14ac:dyDescent="0.15">
      <c r="A722" s="384">
        <f t="shared" si="1112"/>
        <v>720</v>
      </c>
      <c r="B722" s="401">
        <f t="shared" si="1114"/>
        <v>42866</v>
      </c>
    </row>
    <row r="723" spans="1:24" x14ac:dyDescent="0.15">
      <c r="A723" s="384">
        <f t="shared" si="1112"/>
        <v>721</v>
      </c>
      <c r="B723" s="401">
        <f t="shared" si="1114"/>
        <v>42873</v>
      </c>
    </row>
    <row r="724" spans="1:24" x14ac:dyDescent="0.15">
      <c r="A724" s="384">
        <f t="shared" si="1112"/>
        <v>722</v>
      </c>
      <c r="B724" s="401">
        <f t="shared" si="1114"/>
        <v>42880</v>
      </c>
    </row>
    <row r="725" spans="1:24" x14ac:dyDescent="0.15">
      <c r="A725" s="384">
        <f t="shared" si="1112"/>
        <v>723</v>
      </c>
      <c r="B725" s="401">
        <f t="shared" si="1114"/>
        <v>42887</v>
      </c>
    </row>
    <row r="726" spans="1:24" x14ac:dyDescent="0.15">
      <c r="A726" s="384">
        <f t="shared" si="1112"/>
        <v>724</v>
      </c>
      <c r="B726" s="401">
        <f t="shared" si="1114"/>
        <v>42894</v>
      </c>
    </row>
    <row r="727" spans="1:24" x14ac:dyDescent="0.15">
      <c r="A727" s="384">
        <f t="shared" si="1112"/>
        <v>725</v>
      </c>
      <c r="B727" s="401">
        <f t="shared" si="1114"/>
        <v>42901</v>
      </c>
    </row>
    <row r="728" spans="1:24" x14ac:dyDescent="0.15">
      <c r="A728" s="384">
        <f t="shared" si="1112"/>
        <v>726</v>
      </c>
      <c r="B728" s="401">
        <f t="shared" si="1114"/>
        <v>42908</v>
      </c>
    </row>
    <row r="729" spans="1:24" x14ac:dyDescent="0.15">
      <c r="A729" s="384">
        <f t="shared" si="1112"/>
        <v>727</v>
      </c>
      <c r="B729" s="401">
        <f t="shared" si="1114"/>
        <v>42915</v>
      </c>
    </row>
    <row r="730" spans="1:24" x14ac:dyDescent="0.15">
      <c r="A730" s="384">
        <f t="shared" si="1112"/>
        <v>728</v>
      </c>
      <c r="B730" s="401">
        <f t="shared" si="1114"/>
        <v>42922</v>
      </c>
    </row>
    <row r="731" spans="1:24" x14ac:dyDescent="0.15">
      <c r="A731" s="384">
        <f t="shared" si="1112"/>
        <v>729</v>
      </c>
      <c r="B731" s="401">
        <f t="shared" si="1114"/>
        <v>42929</v>
      </c>
    </row>
    <row r="732" spans="1:24" x14ac:dyDescent="0.15">
      <c r="A732" s="384">
        <f t="shared" si="1112"/>
        <v>730</v>
      </c>
      <c r="B732" s="401">
        <f t="shared" si="1114"/>
        <v>42936</v>
      </c>
    </row>
    <row r="733" spans="1:24" x14ac:dyDescent="0.15">
      <c r="A733" s="384">
        <f t="shared" si="1112"/>
        <v>731</v>
      </c>
      <c r="B733" s="401">
        <f t="shared" si="1114"/>
        <v>42943</v>
      </c>
    </row>
    <row r="734" spans="1:24" x14ac:dyDescent="0.15">
      <c r="A734" s="384">
        <f t="shared" si="1112"/>
        <v>732</v>
      </c>
      <c r="B734" s="401">
        <f t="shared" si="1114"/>
        <v>42950</v>
      </c>
    </row>
    <row r="735" spans="1:24" x14ac:dyDescent="0.15">
      <c r="A735" s="384">
        <f t="shared" si="1112"/>
        <v>733</v>
      </c>
      <c r="B735" s="401">
        <f t="shared" si="1114"/>
        <v>42957</v>
      </c>
    </row>
    <row r="736" spans="1:24" x14ac:dyDescent="0.15">
      <c r="A736" s="384">
        <f t="shared" si="1112"/>
        <v>734</v>
      </c>
      <c r="B736" s="401">
        <f t="shared" si="1114"/>
        <v>42964</v>
      </c>
    </row>
    <row r="737" spans="1:2" x14ac:dyDescent="0.15">
      <c r="A737" s="384">
        <f t="shared" si="1112"/>
        <v>735</v>
      </c>
      <c r="B737" s="401">
        <f t="shared" si="1114"/>
        <v>42971</v>
      </c>
    </row>
    <row r="738" spans="1:2" x14ac:dyDescent="0.15">
      <c r="A738" s="384">
        <f t="shared" si="1112"/>
        <v>736</v>
      </c>
      <c r="B738" s="401">
        <f t="shared" si="1114"/>
        <v>42978</v>
      </c>
    </row>
    <row r="739" spans="1:2" x14ac:dyDescent="0.15">
      <c r="A739" s="384">
        <f t="shared" si="1112"/>
        <v>737</v>
      </c>
      <c r="B739" s="401">
        <f t="shared" si="1114"/>
        <v>42985</v>
      </c>
    </row>
    <row r="740" spans="1:2" x14ac:dyDescent="0.15">
      <c r="A740" s="384">
        <f t="shared" si="1112"/>
        <v>738</v>
      </c>
      <c r="B740" s="401">
        <f t="shared" si="1114"/>
        <v>42992</v>
      </c>
    </row>
    <row r="741" spans="1:2" x14ac:dyDescent="0.15">
      <c r="A741" s="384">
        <f t="shared" si="1112"/>
        <v>739</v>
      </c>
      <c r="B741" s="401">
        <f t="shared" si="1114"/>
        <v>42999</v>
      </c>
    </row>
    <row r="742" spans="1:2" x14ac:dyDescent="0.15">
      <c r="A742" s="384">
        <f t="shared" si="1112"/>
        <v>740</v>
      </c>
      <c r="B742" s="401">
        <f t="shared" si="1114"/>
        <v>43006</v>
      </c>
    </row>
    <row r="743" spans="1:2" x14ac:dyDescent="0.15">
      <c r="A743" s="384">
        <f t="shared" si="1112"/>
        <v>741</v>
      </c>
      <c r="B743" s="401">
        <f t="shared" si="1114"/>
        <v>43013</v>
      </c>
    </row>
    <row r="744" spans="1:2" x14ac:dyDescent="0.15">
      <c r="A744" s="384">
        <f t="shared" si="1112"/>
        <v>742</v>
      </c>
      <c r="B744" s="401">
        <f t="shared" si="1114"/>
        <v>43020</v>
      </c>
    </row>
    <row r="745" spans="1:2" x14ac:dyDescent="0.15">
      <c r="A745" s="384">
        <f t="shared" si="1112"/>
        <v>743</v>
      </c>
      <c r="B745" s="401">
        <f t="shared" si="1114"/>
        <v>43027</v>
      </c>
    </row>
    <row r="746" spans="1:2" x14ac:dyDescent="0.15">
      <c r="A746" s="384">
        <f t="shared" si="1112"/>
        <v>744</v>
      </c>
      <c r="B746" s="401">
        <f t="shared" si="1114"/>
        <v>43034</v>
      </c>
    </row>
    <row r="747" spans="1:2" x14ac:dyDescent="0.15">
      <c r="A747" s="384">
        <f t="shared" si="1112"/>
        <v>745</v>
      </c>
      <c r="B747" s="401">
        <f t="shared" si="1114"/>
        <v>43041</v>
      </c>
    </row>
    <row r="748" spans="1:2" x14ac:dyDescent="0.15">
      <c r="A748" s="384">
        <f t="shared" si="1112"/>
        <v>746</v>
      </c>
      <c r="B748" s="401">
        <f t="shared" si="1114"/>
        <v>43048</v>
      </c>
    </row>
    <row r="749" spans="1:2" x14ac:dyDescent="0.15">
      <c r="A749" s="384">
        <f t="shared" si="1112"/>
        <v>747</v>
      </c>
      <c r="B749" s="401">
        <f t="shared" si="1114"/>
        <v>43055</v>
      </c>
    </row>
    <row r="750" spans="1:2" x14ac:dyDescent="0.15">
      <c r="A750" s="384">
        <f t="shared" si="1112"/>
        <v>748</v>
      </c>
      <c r="B750" s="401">
        <f t="shared" si="1114"/>
        <v>43062</v>
      </c>
    </row>
    <row r="751" spans="1:2" x14ac:dyDescent="0.15">
      <c r="A751" s="384">
        <f t="shared" si="1112"/>
        <v>749</v>
      </c>
      <c r="B751" s="401">
        <f t="shared" si="1114"/>
        <v>43069</v>
      </c>
    </row>
    <row r="752" spans="1:2" x14ac:dyDescent="0.15">
      <c r="A752" s="384">
        <f t="shared" si="1112"/>
        <v>750</v>
      </c>
      <c r="B752" s="401">
        <f t="shared" si="1114"/>
        <v>43076</v>
      </c>
    </row>
    <row r="753" spans="1:2" x14ac:dyDescent="0.15">
      <c r="A753" s="384">
        <f t="shared" si="1112"/>
        <v>751</v>
      </c>
      <c r="B753" s="401">
        <f t="shared" si="1114"/>
        <v>43083</v>
      </c>
    </row>
    <row r="754" spans="1:2" x14ac:dyDescent="0.15">
      <c r="A754" s="384">
        <f t="shared" si="1112"/>
        <v>752</v>
      </c>
      <c r="B754" s="401">
        <f t="shared" si="1114"/>
        <v>43090</v>
      </c>
    </row>
    <row r="755" spans="1:2" x14ac:dyDescent="0.15">
      <c r="A755" s="384">
        <f t="shared" si="1112"/>
        <v>753</v>
      </c>
      <c r="B755" s="401">
        <f t="shared" si="1114"/>
        <v>43097</v>
      </c>
    </row>
    <row r="756" spans="1:2" x14ac:dyDescent="0.15">
      <c r="A756" s="384">
        <f t="shared" si="1112"/>
        <v>754</v>
      </c>
      <c r="B756" s="401">
        <f t="shared" si="1114"/>
        <v>43104</v>
      </c>
    </row>
    <row r="757" spans="1:2" x14ac:dyDescent="0.15">
      <c r="A757" s="384">
        <f t="shared" si="1112"/>
        <v>755</v>
      </c>
      <c r="B757" s="401">
        <f t="shared" si="1114"/>
        <v>43111</v>
      </c>
    </row>
    <row r="758" spans="1:2" x14ac:dyDescent="0.15">
      <c r="A758" s="384">
        <f t="shared" si="1112"/>
        <v>756</v>
      </c>
      <c r="B758" s="401">
        <f t="shared" si="1114"/>
        <v>43118</v>
      </c>
    </row>
    <row r="759" spans="1:2" x14ac:dyDescent="0.15">
      <c r="A759" s="384">
        <f t="shared" si="1112"/>
        <v>757</v>
      </c>
      <c r="B759" s="401">
        <f t="shared" si="1114"/>
        <v>43125</v>
      </c>
    </row>
    <row r="760" spans="1:2" x14ac:dyDescent="0.15">
      <c r="A760" s="384">
        <f t="shared" si="1112"/>
        <v>758</v>
      </c>
      <c r="B760" s="401">
        <f t="shared" si="1114"/>
        <v>43132</v>
      </c>
    </row>
    <row r="761" spans="1:2" x14ac:dyDescent="0.15">
      <c r="A761" s="384">
        <f t="shared" si="1112"/>
        <v>759</v>
      </c>
      <c r="B761" s="401">
        <f t="shared" si="1114"/>
        <v>43139</v>
      </c>
    </row>
    <row r="762" spans="1:2" x14ac:dyDescent="0.15">
      <c r="A762" s="384">
        <f t="shared" si="1112"/>
        <v>760</v>
      </c>
      <c r="B762" s="401">
        <f t="shared" si="1114"/>
        <v>43146</v>
      </c>
    </row>
    <row r="763" spans="1:2" x14ac:dyDescent="0.15">
      <c r="A763" s="384">
        <f t="shared" si="1112"/>
        <v>761</v>
      </c>
      <c r="B763" s="401">
        <f t="shared" si="1114"/>
        <v>43153</v>
      </c>
    </row>
    <row r="764" spans="1:2" x14ac:dyDescent="0.15">
      <c r="A764" s="384">
        <f t="shared" si="1112"/>
        <v>762</v>
      </c>
      <c r="B764" s="401">
        <f t="shared" si="1114"/>
        <v>43160</v>
      </c>
    </row>
    <row r="765" spans="1:2" x14ac:dyDescent="0.15">
      <c r="A765" s="384">
        <f t="shared" si="1112"/>
        <v>763</v>
      </c>
      <c r="B765" s="401">
        <f t="shared" si="1114"/>
        <v>43167</v>
      </c>
    </row>
    <row r="766" spans="1:2" x14ac:dyDescent="0.15">
      <c r="A766" s="384">
        <f t="shared" si="1112"/>
        <v>764</v>
      </c>
      <c r="B766" s="401">
        <f t="shared" si="1114"/>
        <v>43174</v>
      </c>
    </row>
    <row r="767" spans="1:2" x14ac:dyDescent="0.15">
      <c r="A767" s="384">
        <f t="shared" si="1112"/>
        <v>765</v>
      </c>
      <c r="B767" s="401">
        <f t="shared" si="1114"/>
        <v>43181</v>
      </c>
    </row>
    <row r="768" spans="1:2" x14ac:dyDescent="0.15">
      <c r="A768" s="384">
        <f t="shared" si="1112"/>
        <v>766</v>
      </c>
      <c r="B768" s="401">
        <f t="shared" si="1114"/>
        <v>43188</v>
      </c>
    </row>
    <row r="769" spans="1:2" x14ac:dyDescent="0.15">
      <c r="A769" s="384">
        <f t="shared" si="1112"/>
        <v>767</v>
      </c>
      <c r="B769" s="401">
        <f t="shared" si="1114"/>
        <v>43195</v>
      </c>
    </row>
    <row r="770" spans="1:2" x14ac:dyDescent="0.15">
      <c r="A770" s="384">
        <f t="shared" si="1112"/>
        <v>768</v>
      </c>
      <c r="B770" s="401">
        <f t="shared" si="1114"/>
        <v>43202</v>
      </c>
    </row>
    <row r="771" spans="1:2" x14ac:dyDescent="0.15">
      <c r="A771" s="384">
        <f t="shared" si="1112"/>
        <v>769</v>
      </c>
      <c r="B771" s="401">
        <f t="shared" si="1114"/>
        <v>43209</v>
      </c>
    </row>
    <row r="772" spans="1:2" x14ac:dyDescent="0.15">
      <c r="A772" s="384">
        <f t="shared" si="1112"/>
        <v>770</v>
      </c>
      <c r="B772" s="401">
        <f t="shared" si="1114"/>
        <v>43216</v>
      </c>
    </row>
    <row r="773" spans="1:2" x14ac:dyDescent="0.15">
      <c r="A773" s="384">
        <f t="shared" ref="A773:A780" si="1115">A772+1</f>
        <v>771</v>
      </c>
      <c r="B773" s="401">
        <f t="shared" si="1114"/>
        <v>43223</v>
      </c>
    </row>
    <row r="774" spans="1:2" x14ac:dyDescent="0.15">
      <c r="A774" s="384">
        <f t="shared" si="1115"/>
        <v>772</v>
      </c>
      <c r="B774" s="401">
        <f t="shared" si="1114"/>
        <v>43230</v>
      </c>
    </row>
    <row r="775" spans="1:2" x14ac:dyDescent="0.15">
      <c r="A775" s="384">
        <f t="shared" si="1115"/>
        <v>773</v>
      </c>
      <c r="B775" s="401">
        <f t="shared" si="1114"/>
        <v>43237</v>
      </c>
    </row>
    <row r="776" spans="1:2" x14ac:dyDescent="0.15">
      <c r="A776" s="384">
        <f t="shared" si="1115"/>
        <v>774</v>
      </c>
      <c r="B776" s="401">
        <f t="shared" si="1114"/>
        <v>43244</v>
      </c>
    </row>
    <row r="777" spans="1:2" x14ac:dyDescent="0.15">
      <c r="A777" s="384">
        <f t="shared" si="1115"/>
        <v>775</v>
      </c>
      <c r="B777" s="401">
        <f t="shared" si="1114"/>
        <v>43251</v>
      </c>
    </row>
    <row r="778" spans="1:2" x14ac:dyDescent="0.15">
      <c r="A778" s="384">
        <f t="shared" si="1115"/>
        <v>776</v>
      </c>
      <c r="B778" s="401">
        <f t="shared" si="1114"/>
        <v>43258</v>
      </c>
    </row>
    <row r="779" spans="1:2" x14ac:dyDescent="0.15">
      <c r="A779" s="384">
        <f t="shared" si="1115"/>
        <v>777</v>
      </c>
      <c r="B779" s="401">
        <f t="shared" si="1114"/>
        <v>43265</v>
      </c>
    </row>
    <row r="780" spans="1:2" x14ac:dyDescent="0.15">
      <c r="A780" s="384">
        <f t="shared" si="1115"/>
        <v>778</v>
      </c>
      <c r="B780" s="401">
        <f t="shared" si="1114"/>
        <v>43272</v>
      </c>
    </row>
  </sheetData>
  <mergeCells count="1">
    <mergeCell ref="Z1:AB1"/>
  </mergeCells>
  <phoneticPr fontId="10" type="noConversion"/>
  <conditionalFormatting sqref="F1:G1 M1 F3:G548 M3:M552 T3:T552 F582:G1048576 M582:M1048576 T582:T1048576">
    <cfRule type="cellIs" dxfId="14" priority="20" operator="lessThan">
      <formula>0</formula>
    </cfRule>
  </conditionalFormatting>
  <conditionalFormatting sqref="F549:G552">
    <cfRule type="cellIs" dxfId="13" priority="4" operator="lessThan">
      <formula>0</formula>
    </cfRule>
  </conditionalFormatting>
  <conditionalFormatting sqref="F553:G581">
    <cfRule type="cellIs" dxfId="12" priority="3" operator="lessThan">
      <formula>0</formula>
    </cfRule>
  </conditionalFormatting>
  <conditionalFormatting sqref="M553:M581">
    <cfRule type="cellIs" dxfId="11" priority="2" operator="lessThan">
      <formula>0</formula>
    </cfRule>
  </conditionalFormatting>
  <conditionalFormatting sqref="T553:T581">
    <cfRule type="cellIs" dxfId="10" priority="1" operator="lessThan">
      <formula>0</formula>
    </cfRule>
  </conditionalFormatting>
  <hyperlinks>
    <hyperlink ref="AG557" r:id="rId1"/>
    <hyperlink ref="AG554" r:id="rId2"/>
  </hyperlinks>
  <printOptions horizontalCentered="1" verticalCentered="1"/>
  <pageMargins left="0.75" right="0.75" top="1" bottom="1" header="0.5" footer="0.5"/>
  <headerFooter>
    <oddHeader>&amp;LSeidman I.P.O. &amp;Ras of &amp;D</oddHeader>
    <oddFooter>&amp;CSeidman I.P.O._x000D_"Education, Experience, Opportunity"_x000D_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4</vt:i4>
      </vt:variant>
    </vt:vector>
  </HeadingPairs>
  <TitlesOfParts>
    <vt:vector size="20" baseType="lpstr">
      <vt:lpstr>Summary</vt:lpstr>
      <vt:lpstr>Sortable Performnce</vt:lpstr>
      <vt:lpstr>since 2003</vt:lpstr>
      <vt:lpstr>since 2010</vt:lpstr>
      <vt:lpstr>Holdings</vt:lpstr>
      <vt:lpstr>Sheet1</vt:lpstr>
      <vt:lpstr>holdings pull sheet</vt:lpstr>
      <vt:lpstr>V.P. of PM</vt:lpstr>
      <vt:lpstr>Data</vt:lpstr>
      <vt:lpstr>Transactions</vt:lpstr>
      <vt:lpstr>2017 S1 Performance</vt:lpstr>
      <vt:lpstr>Holdings_Old</vt:lpstr>
      <vt:lpstr>Long-Term Chart_Old</vt:lpstr>
      <vt:lpstr>Sector Weights</vt:lpstr>
      <vt:lpstr>GICS Sector Allocation</vt:lpstr>
      <vt:lpstr>2016 Performance</vt:lpstr>
      <vt:lpstr>GICS Sector Weights</vt:lpstr>
      <vt:lpstr>MKT Cap</vt:lpstr>
      <vt:lpstr>Recession Chart_Old</vt:lpstr>
      <vt:lpstr>GICS Sector Weights (2)</vt:lpstr>
    </vt:vector>
  </TitlesOfParts>
  <Manager>Boomer K. Hoppough</Manager>
  <Company>Edward Jones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Boomer K. Hoppough</dc:creator>
  <cp:lastModifiedBy>Microsoft Office User</cp:lastModifiedBy>
  <cp:lastPrinted>2014-11-20T22:17:13Z</cp:lastPrinted>
  <dcterms:created xsi:type="dcterms:W3CDTF">2003-05-08T16:17:53Z</dcterms:created>
  <dcterms:modified xsi:type="dcterms:W3CDTF">2017-05-11T22:13:10Z</dcterms:modified>
</cp:coreProperties>
</file>